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GESTIÓN 2021\PLAN DE GESTIÓN 2021\TRIMESTRE III-2021\DOCUMENTOS PG REPORTE A OAP\"/>
    </mc:Choice>
  </mc:AlternateContent>
  <workbookProtection lockStructure="1"/>
  <bookViews>
    <workbookView xWindow="0" yWindow="0" windowWidth="21600" windowHeight="8835"/>
  </bookViews>
  <sheets>
    <sheet name="2021 Usme"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1" i="1" l="1"/>
  <c r="AS22" i="1"/>
  <c r="AS20" i="1"/>
  <c r="AS19" i="1"/>
  <c r="AS18" i="1"/>
  <c r="AS17" i="1"/>
  <c r="AS16" i="1"/>
  <c r="AQ35" i="1" l="1"/>
  <c r="AQ34" i="1"/>
  <c r="AQ33" i="1"/>
  <c r="AQ30" i="1"/>
  <c r="AQ29" i="1"/>
  <c r="AQ28" i="1"/>
  <c r="AQ27" i="1"/>
  <c r="AQ26" i="1"/>
  <c r="AQ25" i="1"/>
  <c r="AQ24" i="1"/>
  <c r="AQ23" i="1"/>
  <c r="AQ22" i="1"/>
  <c r="AQ21" i="1"/>
  <c r="AQ20" i="1"/>
  <c r="AQ19" i="1"/>
  <c r="AQ18" i="1"/>
  <c r="AQ17" i="1"/>
  <c r="AQ16" i="1"/>
  <c r="AQ15" i="1"/>
  <c r="AQ13" i="1"/>
  <c r="AG22" i="1"/>
  <c r="AG21" i="1"/>
  <c r="AG20" i="1"/>
  <c r="AG19" i="1"/>
  <c r="AG18" i="1"/>
  <c r="AG17" i="1"/>
  <c r="AG16" i="1"/>
  <c r="AH15" i="1"/>
  <c r="AG15" i="1"/>
  <c r="AQ32" i="1"/>
  <c r="AB34" i="1"/>
  <c r="AC34" i="1" s="1"/>
  <c r="AC36" i="1"/>
  <c r="AC35" i="1"/>
  <c r="AC33" i="1"/>
  <c r="AC32" i="1"/>
  <c r="AR30" i="1"/>
  <c r="AR29" i="1"/>
  <c r="AR28" i="1"/>
  <c r="AR27" i="1"/>
  <c r="AR23" i="1"/>
  <c r="AR22" i="1"/>
  <c r="AR21" i="1"/>
  <c r="AR20" i="1"/>
  <c r="AR26" i="1"/>
  <c r="AR25" i="1"/>
  <c r="AR24" i="1"/>
  <c r="AR19" i="1"/>
  <c r="AR18" i="1"/>
  <c r="AR17" i="1"/>
  <c r="AR16" i="1"/>
  <c r="AR15" i="1"/>
  <c r="AR14" i="1"/>
  <c r="AR13" i="1"/>
  <c r="AC30" i="1"/>
  <c r="AC29" i="1"/>
  <c r="AC28" i="1"/>
  <c r="AC27" i="1"/>
  <c r="AC26" i="1"/>
  <c r="AC25" i="1"/>
  <c r="AC24" i="1"/>
  <c r="AC23" i="1"/>
  <c r="AC22" i="1"/>
  <c r="AC21" i="1"/>
  <c r="AC20" i="1"/>
  <c r="AC19" i="1"/>
  <c r="AC18" i="1"/>
  <c r="AC17" i="1"/>
  <c r="AC16" i="1"/>
  <c r="AC15" i="1"/>
  <c r="AC13" i="1"/>
  <c r="AR36" i="1" l="1"/>
  <c r="AR35" i="1"/>
  <c r="AR34" i="1"/>
  <c r="AR33" i="1"/>
  <c r="AR32" i="1"/>
  <c r="AB33" i="1"/>
  <c r="AM37" i="1"/>
  <c r="AM30" i="1"/>
  <c r="AM29" i="1"/>
  <c r="AM28" i="1"/>
  <c r="AM27" i="1"/>
  <c r="AM26" i="1"/>
  <c r="AM25" i="1"/>
  <c r="AM24" i="1"/>
  <c r="AM23" i="1"/>
  <c r="AM22" i="1"/>
  <c r="AM21" i="1"/>
  <c r="AM20" i="1"/>
  <c r="AM19" i="1"/>
  <c r="AM18" i="1"/>
  <c r="AM17" i="1"/>
  <c r="AM16" i="1"/>
  <c r="AM15" i="1"/>
  <c r="AM31" i="1"/>
  <c r="AM38" i="1"/>
  <c r="AM14" i="1"/>
  <c r="AM13" i="1"/>
  <c r="AH37" i="1"/>
  <c r="AH31" i="1"/>
  <c r="AH38" i="1"/>
  <c r="AC37" i="1"/>
  <c r="AC31" i="1"/>
  <c r="X37" i="1"/>
  <c r="X33" i="1"/>
  <c r="W33" i="1"/>
  <c r="AR31" i="1"/>
  <c r="X31" i="1"/>
  <c r="X38" i="1"/>
  <c r="X26" i="1"/>
  <c r="X25" i="1"/>
  <c r="X23" i="1"/>
  <c r="X21" i="1"/>
  <c r="E30" i="1"/>
  <c r="E29" i="1"/>
  <c r="E28" i="1"/>
  <c r="E27" i="1"/>
  <c r="E26" i="1"/>
  <c r="E25" i="1"/>
  <c r="E24" i="1"/>
  <c r="E23" i="1"/>
  <c r="E22" i="1"/>
  <c r="E21" i="1"/>
  <c r="E20" i="1"/>
  <c r="E19" i="1"/>
  <c r="E18" i="1"/>
  <c r="E17" i="1"/>
  <c r="E16" i="1"/>
  <c r="E15" i="1"/>
  <c r="E14" i="1"/>
  <c r="P28" i="1"/>
  <c r="P29" i="1"/>
  <c r="P30" i="1"/>
  <c r="E13" i="1"/>
  <c r="P27" i="1"/>
  <c r="P26" i="1"/>
  <c r="P25" i="1"/>
  <c r="P24" i="1"/>
  <c r="P23" i="1"/>
  <c r="L37" i="1"/>
  <c r="P37" i="1"/>
  <c r="O37" i="1"/>
  <c r="N37" i="1"/>
  <c r="M37" i="1"/>
  <c r="AP36" i="1"/>
  <c r="AP35" i="1"/>
  <c r="AP34" i="1"/>
  <c r="AP33" i="1"/>
  <c r="AP32" i="1"/>
  <c r="AP30" i="1"/>
  <c r="AP29" i="1"/>
  <c r="AP28" i="1"/>
  <c r="AP27" i="1"/>
  <c r="AP26" i="1"/>
  <c r="AP25" i="1"/>
  <c r="AP24" i="1"/>
  <c r="AP23" i="1"/>
  <c r="AP22" i="1"/>
  <c r="AP21" i="1"/>
  <c r="AP20" i="1"/>
  <c r="AP19" i="1"/>
  <c r="AP18" i="1"/>
  <c r="AP17" i="1"/>
  <c r="AP16" i="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V36" i="1"/>
  <c r="V33" i="1"/>
  <c r="V30" i="1"/>
  <c r="V29" i="1"/>
  <c r="V28" i="1"/>
  <c r="V27" i="1"/>
  <c r="V26" i="1"/>
  <c r="V25" i="1"/>
  <c r="V24" i="1"/>
  <c r="V23" i="1"/>
  <c r="V22" i="1"/>
  <c r="V21" i="1"/>
  <c r="V20" i="1"/>
  <c r="V19" i="1"/>
  <c r="V18" i="1"/>
  <c r="V17" i="1"/>
  <c r="V16" i="1"/>
  <c r="V15" i="1"/>
  <c r="E31" i="1"/>
  <c r="E37" i="1"/>
  <c r="N38" i="1"/>
  <c r="O38" i="1"/>
  <c r="L38" i="1"/>
  <c r="AA37" i="1"/>
  <c r="AA38" i="1"/>
  <c r="AF37" i="1"/>
  <c r="AF38" i="1"/>
  <c r="AK37" i="1"/>
  <c r="AK38" i="1"/>
  <c r="M38" i="1"/>
  <c r="P38" i="1"/>
  <c r="E38" i="1"/>
  <c r="AR37" i="1" l="1"/>
  <c r="AR38" i="1" s="1"/>
  <c r="AC38" i="1"/>
</calcChain>
</file>

<file path=xl/sharedStrings.xml><?xml version="1.0" encoding="utf-8"?>
<sst xmlns="http://schemas.openxmlformats.org/spreadsheetml/2006/main" count="548" uniqueCount="312">
  <si>
    <r>
      <t xml:space="preserve">ALCALDÍA LOCAL DE </t>
    </r>
    <r>
      <rPr>
        <b/>
        <u/>
        <sz val="11"/>
        <color indexed="8"/>
        <rFont val="Calibri Light"/>
        <family val="2"/>
      </rPr>
      <t>USME</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</si>
  <si>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</si>
  <si>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</si>
  <si>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</si>
  <si>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</si>
  <si>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</si>
  <si>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</si>
  <si>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</si>
  <si>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</si>
  <si>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23 de marzo de 2021</t>
  </si>
  <si>
    <t>Publicación del plan de gestión aprobado. Caso HOLA: 163085</t>
  </si>
  <si>
    <t>30 de abril de 2021</t>
  </si>
  <si>
    <t>Para el primer trimestre de la vigencia 2021, el plan de gestión de la Alcaldía Local alcanzó un nivel de desempeño del 79%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</si>
  <si>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</si>
  <si>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92,07% de acuerdo con lo programado, y del 46,14%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</si>
  <si>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</si>
  <si>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</si>
  <si>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</si>
  <si>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</si>
  <si>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</si>
  <si>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</si>
  <si>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</si>
  <si>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</si>
  <si>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</si>
  <si>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</si>
  <si>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</si>
  <si>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</si>
  <si>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</si>
  <si>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</si>
  <si>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</si>
  <si>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</si>
  <si>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</si>
  <si>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</si>
  <si>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</si>
  <si>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</si>
  <si>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</si>
  <si>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</si>
  <si>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</si>
  <si>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</si>
  <si>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</si>
  <si>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</si>
  <si>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</si>
  <si>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</si>
  <si>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</si>
  <si>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</si>
  <si>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</si>
  <si>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</si>
  <si>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</si>
  <si>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</si>
  <si>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</si>
  <si>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</si>
  <si>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</si>
  <si>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</si>
  <si>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</si>
  <si>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</si>
  <si>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</si>
  <si>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</si>
  <si>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</si>
  <si>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</si>
  <si>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</si>
  <si>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</si>
  <si>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</si>
  <si>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</si>
  <si>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</si>
  <si>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</si>
  <si>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</si>
  <si>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</si>
  <si>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100%.
La Alcaldía Local de Usme a corte de 30 de junio de 2021, alcanzó un 0,5% de cumplimiento de la meta, debido a las acciones realizadas por la ULATA como avances de ejecución del proyecto 1726 el cual tiene dos (02) metas en el marco de la Extensión agropecuaria ambiental y productividad en la localidad de Usme. Los demás proyectos estan en etapa de formulación y/o procesos de contratación.
Nota: se ajusta la programación de la meta para el II Trimestre de 2021, dado que la información disponible corresponde al I Trimestre. </t>
  </si>
  <si>
    <t>Reporte de ejecución de la meta aportado por la DGDL proveniente de la MUSI</t>
  </si>
  <si>
    <t>la SDP aún no ha realizado el seguimiento articulado con la Oficina de Planeación de la Alcaldía Local. Se tiene previsto contar con los resutados oficiales de la SDP sobre el seguimiento que se adelanta a las metas del PDL de la Alcaldía Local de Usme el 22 de octubre de 2021. Sin embargo, conforme al reporte remitido por la DGPL se cuenta con el 20,10% de avance y cumplimiento en las metas del PDL.</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</si>
  <si>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</si>
  <si>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</si>
  <si>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</si>
  <si>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</si>
  <si>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</si>
  <si>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</si>
  <si>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</si>
  <si>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</si>
  <si>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trimestre II-2021</t>
  </si>
  <si>
    <t>Esta meta No esta  programada para el trimestre II-2021</t>
  </si>
  <si>
    <t>No programada para los trimestres I y II-2021</t>
  </si>
  <si>
    <r>
      <t xml:space="preserve">3. Lograr que el </t>
    </r>
    <r>
      <rPr>
        <b/>
        <sz val="11"/>
        <rFont val="Calibri Light"/>
        <family val="2"/>
      </rPr>
      <t xml:space="preserve">100% </t>
    </r>
    <r>
      <rPr>
        <sz val="11"/>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</si>
  <si>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</si>
  <si>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</si>
  <si>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</si>
  <si>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</si>
  <si>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</si>
  <si>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</si>
  <si>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La Alcaldía Local de Usme  a corte de 31 de marzo esta ejecutando 06 propuestas ganadoras en la vigencia 2021 con CRP por un valor de $255.073.368 de un total de 125 propuestas ganadoras.</t>
  </si>
  <si>
    <t>La Alcaldía Local de Usme logró la ejecución de 12 propuestas ganadoras de presupuestos participativos (Fase II), de las 103 propuestas ganadoras.</t>
  </si>
  <si>
    <t>Reporte de seguimiento a la ejecución de las propuestas
Reporte de ejecución presupuestal BOGDATA
Reporte Dirección para la Gestión del Desarrollo Local</t>
  </si>
  <si>
    <t>La Alcaldía Local de Usme a corte 30 de septiembre 2021, logró que 33 de un total de 125 propuestas así: 100 propuestas ganadoras de presupuestos participativos (Fase II) y 25 de concertación étnica, cuenten con recursos comproemtidos, 33 propuestas las cuales se encuentran en ejecución.</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</si>
  <si>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</si>
  <si>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</si>
  <si>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</si>
  <si>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</si>
  <si>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</si>
  <si>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</si>
  <si>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</si>
  <si>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</si>
  <si>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valor de los giros acumulados a 31 de marzo de 2021  respecto a  las obligaciones por pagar de la vigencia 2020 es 2.831.450.047
Valor del Presupuesto comprometido constituido como obligaciones por pagar de la vigencia 2020 es 25.793.841.033</t>
  </si>
  <si>
    <t>Se evidencia matriz obligaciones por pagar enviada a secretaria de gobierno</t>
  </si>
  <si>
    <t>El Valor de los Giros acumulados realizados por el Fondo de Desarrollo Local de Usme -FDLU en el segundo trimestre de 2021 es = $8805991064
El Valor del Presupuesto comprometido constituido como obligaciones por pagar de la vigencia 2020 es = $24474926453
Por lo tanto, el Porcentaje de giros acumulados de obligaciones por pagar de la vigencia 2020 es de 35,98% a corte de 30 de junio de 2021.</t>
  </si>
  <si>
    <t>Reporte seguimiento mensual consolidado
Informe de ejecución presupuestal de obligaciones por pagar
Reporte ejecución presupuestal BOGDATA
Reporte de seguimiento presentado por la Dirección para la Gestión del Desarrollo Local.</t>
  </si>
  <si>
    <t>El Valor de los Giros acumulados realizados por el Fondo de Desarrollo Local de Usme -FDLU a corte del el tercer trimestre de 2021 es = $14.904.862.981
El Valor del Presupuesto comprometido constituido como obligaciones por pagar de la vigencia 2020 es = $24.435.803.567
Por lo tanto, el Porcentaje de giros acumulados de obligaciones por pagar de la vigencia 2020 es de 61,00% a corte de 30 de septiembre de 2021 superando la meta con 135,55%.</t>
  </si>
  <si>
    <r>
      <t>5.Girar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</si>
  <si>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</si>
  <si>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</si>
  <si>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Valor de los Giros Acumulados a 31 de marzo de 2021 respecto a las obligaciones por pagar de la vigencia 2019 y anteriores es igual a 5.029.350.039
Valor del Presupuesto comprometido constituido como obligaciones por pagar de la vigencia 2019 y anteriores es igual a 27.298.138.881</t>
  </si>
  <si>
    <t>El Valor de los Giros acumulados realizados por el Fondo de Desarrollo Local de Usme -FDLU en el segundo trimestre de 2021 es = $12.529.839.340
El Valor del Presupuesto comprometido constituido como obligaciones por pagar de la vigencia 2019 es = $ 27102965360
Por lo tanto, el Porcentaje de giros acumulados de obligaciones por pagar de la vigencia 2019 y anteriores es del 46,23% a corte de 30 de junio de 2021.</t>
  </si>
  <si>
    <t>El Valor de los Giros acumulados realizados por el Fondo de Desarrollo Local de Usme -FDLU a corte del tercer trimestre de 2021 es = $17.450.659.067
El Valor del Presupuesto comprometido constituido como obligaciones por pagar de la vigencia 2019 es = $ 27.095.185.926
Por lo tanto, el Porcentaje de giros acumulados de obligaciones por pagar de la vigencia 2019 y anteriores es del 64,41% a corte de 30 de septiembre de 2021, superando la meta al 143, 12%</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</si>
  <si>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</si>
  <si>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</si>
  <si>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</si>
  <si>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</si>
  <si>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Durante el 01 de enero al 31 de marzo de 2021 el FDLU logró comprometer con CRP el valor acumulado de $14.519.598.979 equivalente a una ejecución del 24%, teniendo en cuenta que el Valor total del presupuesto de inversión directa de la Vigencia es de $59.441.193.000.</t>
  </si>
  <si>
    <t xml:space="preserve">Reporte seguimiento mensual consolidado 
BOGDATA
</t>
  </si>
  <si>
    <t xml:space="preserve">Para el II Trimestre de 2021, la Alcaldía Local de Usme comprometió $24.735.867.104 de los $59.441.193.000 asignados como presupuesto de inversión directa de la vigencia 2021, lo que representa un nivel de ejecución del 41,61%. </t>
  </si>
  <si>
    <t>Reporte de seguimiento presentado por la Dirección para la Gestión del Desarrollo Local.</t>
  </si>
  <si>
    <t>Para el II Trimestre de 2021, la Alcaldía Local de Usme comprometió $34.512.396.845 de los $64.151.762.749 asignados como presupuesto de inversión directa de la vigencia 2021, lo que representa un nivel de ejecución del 53,80% a corte de 30 de septiembre de 2021 y alcanzando un 82,77% de cumplimiento de la meta respecto a lo programado para el tercer trimestre.</t>
  </si>
  <si>
    <t xml:space="preserve">Reporte de ejecución presupuestal BOGDATA </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</si>
  <si>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</si>
  <si>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</si>
  <si>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</si>
  <si>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Durante el 01 de enero al 31 de marzo de 2021 el FDLU logró Girar el valor acumulado de $6.023.966.939 equivalente a una ejecución del 10%, teniendo en cuenta que el Valor total del presupuesto de inversión directa de la Vigencia es de $59.441.193.000.</t>
  </si>
  <si>
    <t>Reporte seguimiento mensual consolidado 
BOGDATA</t>
  </si>
  <si>
    <t xml:space="preserve">La Alcaldía Local de Usme giró $13.020.175.094 de los $59.441.193.000 asignados como depuesto disponible de inversión directa de la vigencia, lo que representa un nivel de ejecución acumulado del 21,9%. </t>
  </si>
  <si>
    <t>La Alcaldía Local de Usme a corte de 30 de septiembre logró girar el valor de $27.103.942.095 de los $64.151.762.749 asignados como depuesto disponible de inversión directa de la vigencia, lo que representa un nivel de ejecución acumulado del 42,25%. Por lo tanto, se da cumplimiento del 100% de ejecución de esta meta conforme a lo programado para el tercer trimestre, ya que se alcanzo el 211,25% de cumplimiento real.</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</si>
  <si>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</si>
  <si>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</si>
  <si>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</si>
  <si>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</si>
  <si>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</si>
  <si>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El FDLU en el periodo del 01 de enero al 31 de marzo de 2021 registro  en SIPSE Local un total de 199 contratos a través de 135 solicitudes de registro realizadas por el personal de contratación (NO HAY) y Planeación (contratos jurídicos y novedades contractuales). Por lo tanto se cumple al 100% la meta programada en el trimestre 1, teniendo en cuenta que se publicaron 199 contratos en la plataforma SECOP.</t>
  </si>
  <si>
    <t>Se evidencia en el aplicativo Sipse Local, de la Secretaria Distrital de Gobierno</t>
  </si>
  <si>
    <t xml:space="preserve">La Alcaldía Local de Usme ha registrado 237 contratos de los 247 contratos publicados en la plataforma SECOP I y II, lo que representa un nivel de cumplimiento del 95,95% para el periodo. </t>
  </si>
  <si>
    <t>Reporte seguimiento mensual consolidado
Reporte SIPSE LOCAL
Reporte SECOP</t>
  </si>
  <si>
    <t xml:space="preserve">En el tercer trimestre se han registrado un total de 286 contratos registrados en SIPSE Local y en SECOP II se han registrado 293, para un porcentaje de cumplimiento del 97,61%, por lo tanto se cumple la meta del trimestre al 100%. </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</si>
  <si>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</si>
  <si>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</si>
  <si>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</si>
  <si>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</si>
  <si>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</si>
  <si>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El FDLU en el periodo del 1 de enero al 31 de marzo de 2021 registró en SIPSE Local 192 contratos de prestación de servicios en estado ejecución.</t>
  </si>
  <si>
    <t xml:space="preserve">La Alcaldía Local de Usme ha registrado 237 contratos en SIPSE Local en estado ejecución de los 240 contratos registrados en SIPSE Local, lo que equivale al 98,75%. </t>
  </si>
  <si>
    <t>A corte del tercer trimestre se encuentran en ejecución un total de 285 contratos de 286 contratos registrados en SIPSE Local, logrando un porcentaje de ejecución del 99,65%. Sin embargo, se acalra que se encuentra suscrito ó legalizado 01, en ejecución 261 y terminado no requiere liquidación 24, para un % de avance del 101,1%, como se observa en el reporte de SIPSE Local.</t>
  </si>
  <si>
    <t>Reporte seguimiento mensual consolidado
Reporte SIPSE LOCAL</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</si>
  <si>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</si>
  <si>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</si>
  <si>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</si>
  <si>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</si>
  <si>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</si>
  <si>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 xml:space="preserve">El FDLU en el periodo del 1 de enero al 31 de marzo realizo en el aplicativo SIPSE LOCAL el registro de 34 proyectos de inversión y 199 contratos de prestación de servicios. Así como, 20 procesos de gastos de funcionamiento y 133 solicitudes de proceso.
Por lo tanto, se logró una ejecución del 100% teniendo en cuenta que en el aplicativo SEGPLAN se encuentran registrados los 34 proyectos de inversión, en la plataforma SECOP se encuentran los 199 contratos de prestación de servicios y en BOGDATA se encuentra debidamente registrados tanto los 34 proyectos, los 199 contratos y los 20 procesos de funcionamiento. 
</t>
  </si>
  <si>
    <t>El Fondo de Desarrollo Local de Usme - FDLU a corte de 30 de junio de la vigencia 2021, realizó en el aplicativo SIPSE LOCAL el registro de 34 proyectos de inversión y 259 contratos con la información requerida. Así mismo, realizó el registro de 34 proyectos en los aplicativos SEGPLAN y BOGDATA y 260 contratos registrados en el Sistema Electrónico para la Contratación Pública – SECOP- así: en SECOP I dos (2) y SECOP II doscientos cincuenta y ocho (258). Logrando un Porcentaje de registro total de información del 99,66%.</t>
  </si>
  <si>
    <t xml:space="preserve">Información registrada en forma adecuada en los módulos y funcionalidades en producción de SIPSE
Reporte seguimiento mensual consolidado
Reporte SIPSE LOCAL - Link evidencias Actas de inicio SIPSE.
https://drive.google.com/drive/folders/15oW_fpsGH5UXuYC0BuZl4xon1iUfiX3T </t>
  </si>
  <si>
    <t>El Fondo de Desarrollo Local de Usme - FDLU a corte de 30 de septiembre de la vigencia 2021, realizó en el aplicativo SIPSE LOCAL el registro de 34 proyectos de inversión y 286 contratos con la información requerida. Así mismo, realizó el registro de 34 proyectos en los aplicativos SEGPLAN y BOGDATA y 286 contratos registrados en el Sistema Electrónico para la Contratación Pública – SECOP.
Por lo tanto, se cuenta con los siguientes datos a corte 30 de septiembre 2021: un total 293 contratos así: Contratos por estado: 01 adjudicado, 282 celebrado 282. Contratos por tipo: 07 de Funcionamiento, 286 de Inversión. Logrando un porcentaje del 97,61% para un cumplimiento del 100% en el tercer trimestre.</t>
  </si>
  <si>
    <t>Información registrada en forma adecuada en los módulos y funcionalidades en producción de SIPSE.
Reporte SIPSE LOCAL</t>
  </si>
  <si>
    <t>Inspección, vigilancia y control</t>
  </si>
  <si>
    <r>
      <t xml:space="preserve">11.Impulsar procesalmente (avocar, rechazar, enviar al competente y todo lo que derive del desarrollo de la actuación), </t>
    </r>
    <r>
      <rPr>
        <b/>
        <sz val="11"/>
        <color indexed="8"/>
        <rFont val="Calibri Light"/>
        <family val="2"/>
      </rPr>
      <t>7.680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</si>
  <si>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</si>
  <si>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</si>
  <si>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</si>
  <si>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</si>
  <si>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</si>
  <si>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</si>
  <si>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Las Inspecciones de Policía de Usme durante del 01 de enero al 31 de marzo de 2021 Impulsaron procesalmente 1.803 expedientes entre los cuales  realizaron las siguientes acciones (avocar, rechazar, enviar al competente y todo lo que derive del desarrollo de la actuación). No obstante, del reporte entregado por la Dirección para la Gestión Policiva proveniente del aplicativo ARCO, se tienen 3 impulsos procesales.</t>
  </si>
  <si>
    <t xml:space="preserve">Aplicativo ARCO
Cuadro Excel con cantidades ejecutadas por cada inspección de Policía de Usme, adjunto en la carpeta de Share Point.
</t>
  </si>
  <si>
    <t>En el segundo trimestre de 2021, la alcaldía local de Usme impulsó procesalmente 1.331 expedientes a cargo de las inspecciones de policía, lo que representa un resultado de 69,32% para el periodo, de acuerdo con el reporte presentado por la Dirección para la Gestión Policiva.
Sin embargo, la alcaldía local de Usme presenta el siguiente avance:  Las Inspecciones de Policía de Usme durante el segundo trimestre de 2021, Impulsaron procesalmente un total de 1.896 Expedientes Policivos de la siguiente forma: Inspección 5 A - Impulsaron 500, Inspección 5 B - Impulsaron 490, Inspección 5 C - Impulsaron 294, Inspección 5 D - Impulsaron 612. Sin embargo, sólo se han podido registrar en el Aplicativo ARCO por parte de las Inspecciones de Policía de Usme durante el segundo trimestre de 2021, 1.610 expedientes policivos impulsados procesalmente de la siguiente forma:
Inspección 5 A - Impulsaron 537 expedientes así:  0 en abril, 145 en mayo y 392 en junio.
Inspección 5 B - Impulsaron 323 expedientes así:  0 en abril, 25 en mayo y 298 en junio. 
Inspección 5 C - Impulsaron 450 expedientes así:  10 en abril, 144 en mayo y 296 en junio.
Inspección 5 D - Impulsaron 537 expedientes así:  0 en abril, 165 en mayo y 300 en junio.</t>
  </si>
  <si>
    <t>Aplicativo ARCO
Cuadro Excel con cantidades ejecutadas y reportadas por cada inspección de Policía de Usme, adjunto en la carpeta de Share Point.</t>
  </si>
  <si>
    <t>En el tercer trimestre de 2021, la alcaldía local de Usme impulsó procesalmente 6.261 expedientes a cargo de las inspecciones de policía, lo que representa un resultado de 326,09% superando la meta programada para el periodo, de acuerdo con el reporte presentado por la Dirección para la Gestión Policiva, así: Julio 2300, Agosto 2003 y septiembre 1958.</t>
  </si>
  <si>
    <t>Reporte de seguimiento presentado por la Dirección para la Gestión Policiva
Aplicativo ARCO
Cuadro Excel con cantidades ejecutadas y reportadas por cada inspección de Policía de Usme, adjunto en la carpeta de Share Point.</t>
  </si>
  <si>
    <r>
      <t xml:space="preserve">12. Proferir </t>
    </r>
    <r>
      <rPr>
        <b/>
        <sz val="11"/>
        <color indexed="8"/>
        <rFont val="Calibri Light"/>
        <family val="2"/>
      </rPr>
      <t>2.880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</si>
  <si>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</si>
  <si>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</si>
  <si>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</si>
  <si>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Las Inspecciones de Policía de Usme durante del 01 de enero al 31 de marzo de 2021 Profirieron 1.403 fallos en primera instancia sobre los expedientes que tienen a cargo de las inspecciones de policía. No obstante, del reporte entregado por la Dirección para la Gestión Policiva proveniente del aplicativo ARCO, se tiene 1 fallo en primera instancia.</t>
  </si>
  <si>
    <t xml:space="preserve">Aplicativo Si Actúa I
Cuadro Excel con cantidades ejecutadas por cada inspección de Policía de Usme, adjunto en la carpeta de Share Point.
</t>
  </si>
  <si>
    <t>En el segundo trimestre de 2021, la alcaldía local de Usme profirió 279 fallos en primera instancia sobre los expedientes a cargo de las inspecciones de policía, lo que representa un resultado de 38,75% para el periodo. 
Sin embargo, según reporta la alcaldía local de Usme, las Inspecciones de Policía de Usme durante del 01 de abril al 30 de junio de 2021 Profirieron 1.781 fallos en primera instancia sobre los expedientes que tienen a cargo, logrando un avance de más del 100%.  No obstante, sólo ve reflejado un avance del 38,75% por cuanto sólo se han podido registrar en el Aplicativo ARCO 279 fallos proferidos. Ello, por fallas que presenta el aplicativo según lo reportado por los Inspectores de Policía de Usme.</t>
  </si>
  <si>
    <t>En el tercer trimestre de 2021, la alcaldía local de Usme superó la meta, respecto a la cantidad programada, por cuanto profirió 3.042 fallos en primera instancia sobre los expedientes a cargo de las inspecciones de policía, lo que representa un resultado de 422,50% para el periodo. De acuerdo con el reporte presentado por la Dirección para la Gestión Policiva, así: Julio 779, Agosto 1335 y septiembre 928.</t>
  </si>
  <si>
    <r>
      <t xml:space="preserve">13. Terminar (archivar), </t>
    </r>
    <r>
      <rPr>
        <b/>
        <sz val="11"/>
        <color indexed="8"/>
        <rFont val="Calibri Light"/>
        <family val="2"/>
      </rPr>
      <t xml:space="preserve">136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</si>
  <si>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</si>
  <si>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</si>
  <si>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</si>
  <si>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</si>
  <si>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</si>
  <si>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 xml:space="preserve">Del 01 de enero del 2021 al 31 de marzo de 2021, se realizaron 27 archivos de expedientes. No obstante, del reporte entregado por la Dirección para la Gestión Policiva proveniente del aplicativo SI ACTUA, se tienen 3 actuaciones administrativas. </t>
  </si>
  <si>
    <t xml:space="preserve">Aplicativo Si Actúa I </t>
  </si>
  <si>
    <t xml:space="preserve">En el II trimestre de 2021, la alcaldía local de Usme terminó 64 actuaciones administrativas, lo que representa un resultado de 100% para el periodo. </t>
  </si>
  <si>
    <t>Reporte de seguimiento presentado por la Dirección para la Gestión Policiva</t>
  </si>
  <si>
    <t>En el Tercer trimestre de 2021, la Alcaldía Local de Usme terminó 51 actuaciones administrativas, Así: 17 en julio, 14 en agosto y 20 en septiembre, lo que representa un resultado de 121,43% superando la meta programada para el periodo.</t>
  </si>
  <si>
    <t>Reporte de seguimiento presentado por la Dirección para la Gestión Policiva
Aplicativo SI ACTUA
Cuadro Excel con cantidades ejecutadas y reportadas por cada inspección de Policía de Usme, adjunto en la carpeta de Share Point.</t>
  </si>
  <si>
    <r>
      <t xml:space="preserve">14. Terminar </t>
    </r>
    <r>
      <rPr>
        <b/>
        <sz val="11"/>
        <color indexed="8"/>
        <rFont val="Calibri Light"/>
        <family val="2"/>
      </rPr>
      <t>291</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</si>
  <si>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</si>
  <si>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</si>
  <si>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Del 01 de enero del 2021 al 31 de marzo de 2021, se 37 realizaron actuaciones de primera instancia. No obstante, del reporte entregado por la Dirección para la Gestión Policiva proveniente del aplicativo SI ACTUA, se tienen 3 actuaciones administrativas en primera instancia.</t>
  </si>
  <si>
    <t xml:space="preserve">En el segundo trimestre de 2021, la alcaldía local de Usme terminó 172 actuaciones administrativas en primera instancia, lo que representa un resultado de 100% para el periodo. </t>
  </si>
  <si>
    <t>Reporte de seguimiento presentado por la Dirección para la Gestión Policiva
Copia de Actuaciones administrativas terminadas por vía gubernativa</t>
  </si>
  <si>
    <t>En el TERCER trimestre de 2021, la alcaldía local de Usme terminó 77 actuaciones administrativas en primera instancia, así: 9 en julio, 29 en agosto y 39 en septiembre,  lo que representa un resultado de 109% para el periodo.</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</si>
  <si>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</si>
  <si>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</si>
  <si>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</si>
  <si>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</si>
  <si>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</si>
  <si>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</si>
  <si>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Del  01 de enero del 2021 al 31 marzo  del 2021, se realizaron 47 operativos en espacio publico, dando cumplimiento a lo requerido </t>
  </si>
  <si>
    <t>Actas de reunion , listados de asistencia e informe exel del primer trimestre</t>
  </si>
  <si>
    <t xml:space="preserve">Durante el segundo trimestre de 2021 la Alcaldía Local de Usme, realizó 27 operativos en materia de Espacio Público en la localidad, superando la meta establecida para el trimestre y logrando un 112,50% de cumplimiento. </t>
  </si>
  <si>
    <t>Actas de reunion , listados de asistencia e informe exel del segundo trimestre</t>
  </si>
  <si>
    <t>Durante el tercer trimestre de 2021 la Alcaldía Local de Usme, realizó 22 operativos en materia de Espacio Público en la localidad, superando la meta establecida para el trimestre y logrando un 367% de cumplimiento.</t>
  </si>
  <si>
    <t>Actas de reunion, listados de asistencia e informe exel del tercer trimestre</t>
  </si>
  <si>
    <t xml:space="preserve">Del 01 de enero al 30 de junio de 2021 la Alcaldía Local de Usme, realizó 74 operativos en materia de Espacio Público en la localidad, logrando un 66,07% de cumplimiento acumulado en el primer semestre </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</si>
  <si>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</si>
  <si>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</si>
  <si>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</si>
  <si>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Del  01 de enero del 2021 al 31 marzo  del 2021, se realizaron 33 operativos en actividad economica , dando cumplimiento a lo requerido </t>
  </si>
  <si>
    <t xml:space="preserve">Durante el segundo trimestre de 2021 la Alcaldía Local de Usme, realizó 42 operativos en materia de actividad económica en la localidad, superando la meta establecida para el trimestre y logrando un 116,67% de cumplimiento. </t>
  </si>
  <si>
    <t>Durante el segundo trimestre de 2021 la Alcaldía Local de Usme, realizó 43 operativos en materia de actividad económica en la localidad, superando la meta establecida para el trimestre y logrando un 119,44% de cumplimiento.</t>
  </si>
  <si>
    <t>Actas de reunion , listados de asistencia e informe exel del tercer trimestre</t>
  </si>
  <si>
    <r>
      <t xml:space="preserve">17. Realizar </t>
    </r>
    <r>
      <rPr>
        <b/>
        <sz val="11"/>
        <color indexed="8"/>
        <rFont val="Calibri Light"/>
        <family val="2"/>
      </rPr>
      <t>34</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</si>
  <si>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</si>
  <si>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</si>
  <si>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Del  01 de enero del 2021 al 31 marzo  del 2021, se realizaron 08 operativos de sensibilizacion en obras y urbanismo</t>
  </si>
  <si>
    <t>Actas en carpeta de operativos y respectivamente cargados en Drive</t>
  </si>
  <si>
    <t>La Alcaldía Local de Usme en el periodo de tiempo del 01 de abril del 2021 al 30 de junio del 2021, realizó 9 operativos de Inspección, Vigilancia y Control en materia de obras y urbanismo en la Localidad. Por lo tanto, se logró el 100% de cumplimiento de esta meta en el trimestre.</t>
  </si>
  <si>
    <t>La Alcaldía Local de Usme en el tercer trimestre de 2021, realizó 9 operativos de Inspección, Vigilancia y Control en materia de obras y urbanismo en la Localidad, logrando el 189% de cumplimiento conforme a la cantidad programada para el trimestre.</t>
  </si>
  <si>
    <r>
      <t xml:space="preserve">18. Realizar </t>
    </r>
    <r>
      <rPr>
        <b/>
        <sz val="11"/>
        <color indexed="8"/>
        <rFont val="Calibri Light"/>
        <family val="2"/>
      </rPr>
      <t>22</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</si>
  <si>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</si>
  <si>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</si>
  <si>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Del  01 de enero del 2021 al 31 marzo  del 2021, se realizaron 05 operativos en cerros orientales </t>
  </si>
  <si>
    <t>Durante el Segundo trimestre de 2021 la Alcaldía Local de Usme, realizó 8 operativos en cerros orientales con acompañamiento de diferentes entidades e instituciones.  Por lo tanto, se superó la meta programada para el trimestre.</t>
  </si>
  <si>
    <t>Durante el Tercer trimestre de 2021 la Alcaldía Local de Usme, realizó 9 operativos en cerros orientales con acompañamiento de diferentes entidades e instituciones, superando al 150% de cumplimiento, conforme a la cantidad programada para el trimestre.</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</si>
  <si>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</si>
  <si>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</si>
  <si>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</si>
  <si>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</si>
  <si>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</si>
  <si>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</si>
  <si>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</si>
  <si>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</si>
  <si>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</si>
  <si>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</si>
  <si>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</si>
  <si>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</si>
  <si>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</si>
  <si>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Implementación del Sistema de Gestión Ambiental en un porcentaje de 107%, resultados obtenidos de la inspección ambiental realizada el 22  de abril de 2021, empleando el formato: PLE-PIN-F012 Formato inspecciones ambientales para verificación de implementación del plan institucional de gestión ambiental.</t>
  </si>
  <si>
    <t>Reporte de gestión ambiental OAP.
Formato Anexo de Inspecciones Ambientales para verificación de implementación del Sistema de Gestión Ambiental con los Resultados de medición obtenidos de los criterios ambientales establecidos.</t>
  </si>
  <si>
    <t>Esta Meta No  esta programada para el III Trimestre de 2021</t>
  </si>
  <si>
    <t>No programada para el III Trimestre de 2021</t>
  </si>
  <si>
    <t>La Alcaldía Local de Usme obtuvo un resultado del 107% durante el primer semestre de la vigencia 2021 en la implementación del sistema de gestión ambiental</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</si>
  <si>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</si>
  <si>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</si>
  <si>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</si>
  <si>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</si>
  <si>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</si>
  <si>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</si>
  <si>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</si>
  <si>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</si>
  <si>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 xml:space="preserve">La localidad no tiene acciones de mejora vencidas. </t>
  </si>
  <si>
    <t>La Alcaldía Local de Usme cuenta con 3 planes de mejoramiento en estado abiertos y un total de 28 acciones en estado ejecución dentro de términos, Así: PM No. 192 con 14 Acciones de mejora, PM No. 216 con 5 Acciones de Mejora y el PM No. 218 con 9 Acciones de Mejora.  Por lo tanto, no se tienen acciones de mejora vencidas a corte de 30 de junio de 2021.</t>
  </si>
  <si>
    <t>Reporte Aplicativo MIMEC</t>
  </si>
  <si>
    <t>La Alcaldía Local de Usme cuenta con 3 planes de mejoramiento en estado abiertos y un total de 28 acciones en estado ejecución dentro de términos, Así: PM No. 192 con 14 Acciones de mejora, PM No. 216 con 5 Acciones de Mejora y el PM No. 218 con 9 Acciones de Mejora.  Por lo tanto, no se tienen acciones de mejora vencidas a corte de 30 de septiembre de 2021.</t>
  </si>
  <si>
    <t>La Alcaldía Local de Usme cuenta con 3 planes de mejoramiento en estado abiertos y un total de 28 acciones en estado ejecución dentro de términos por lo tanto, no tiene planes de mejoramiento vencidos.</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</si>
  <si>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</si>
  <si>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</si>
  <si>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</si>
  <si>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</si>
  <si>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</si>
  <si>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</si>
  <si>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</si>
  <si>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</si>
  <si>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</si>
  <si>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de Usme a corte de segundo trimestre de 2021 alcanzo el 94,78% de cumplimiento en la publicación de información en la página web, teniendo en cuenta que cuenta con 109 requisitos de la ley 1712 de 2014 de publicación de la información cumplidos en la página web y 06 no cumplidos de un total de 115 requisitos de la ley 1712 de 2014 de publicación de la información</t>
  </si>
  <si>
    <t>Esquema de publciación página web Alcaldía Local de Usme
Oficina Asesora de Comunicaciones, mediante memorando No. 20211400241773
http://www.usme.gov.co/tabla_archivos/107-registros-publicaciones</t>
  </si>
  <si>
    <t>La Alcaldía Local de Usme a corte de segundo trimestre de 2021 logró el 100,00% de cumplimiento en la publicación de información en la página web, ya que se cuenta con 115 criterios cumplidos de un total de 115 criterios establecidos cómo información mínima a publicar en la página web por los sujetos obligados conforme a ley 1712 de 2014.</t>
  </si>
  <si>
    <t>Esquema de publicación página web Alcaldía Local de Usme archivo Excel
http://www.usme.gov.co/tabla_archivos/107-registros-publicaciones</t>
  </si>
  <si>
    <t xml:space="preserve">La Alcaldía Local de Usme a corte de segundo trimestre de 2021 alcanzo el 94,78% de cumplimiento en la publicación de información en la página web, y del 31,56% acumulado para la vigencia. </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</si>
  <si>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</si>
  <si>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</si>
  <si>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</si>
  <si>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</si>
  <si>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</si>
  <si>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</si>
  <si>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La Alcaldía Local de Usme ha asistido a las capacitaciones realizadas y convocadas por nivel central sobre gestión de riesgos, planes de mejora, y sistema de gestión institucional.</t>
  </si>
  <si>
    <t>Listado de Asistencia Teams</t>
  </si>
  <si>
    <t>La Alcadlía Local de Usme dio cumplimiento a esta meta, por cuanto durante el tercer trimestre asistió personal a las capacitaciones convocadas por nivel central para reuniones virtuales a través de Teams y presenciales.</t>
  </si>
  <si>
    <t>La Alcaldía Local de Usme ha asistido a las capacitaciones realizadas y convocadas por nivel central sobre gestión de riesgos, planes de mejora, y sistema de gestión institucional</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</si>
  <si>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</si>
  <si>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</si>
  <si>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</si>
  <si>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</si>
  <si>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</si>
  <si>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</si>
  <si>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</si>
  <si>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</si>
  <si>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</si>
  <si>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</si>
  <si>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La localidad ha atendido 10.308 requerimientos de la ciudadanía, correspondientes a las vigencias 2017 a 2020</t>
  </si>
  <si>
    <t>Reporte CRONOS</t>
  </si>
  <si>
    <t xml:space="preserve">La Localidad de Usme ha atendido 10.250 requerimientos ciudadanos, de los 10.318 recibidos, lo que representa un 99,3% de gestión frente a la meta prevista. </t>
  </si>
  <si>
    <t>Reporte Aplicativo CRONOS</t>
  </si>
  <si>
    <t xml:space="preserve">La Alcaldía Local de Usme a corte 30 de septiembre de 2021 no tiene ningú PQRS de la vigencia 2020 o anteriores pendietne de emitir respuesta.  </t>
  </si>
  <si>
    <t>Total metas transversales (20%)</t>
  </si>
  <si>
    <t xml:space="preserve">Total plan de gestión </t>
  </si>
  <si>
    <t>La alcaldía Lcoal de Usme conforme al reporte remitido por la DGPL cuenta con el 20,10% de avance y cumplimiento en las metas del PDL a corte de tercer trimestre de 2021.</t>
  </si>
  <si>
    <t xml:space="preserve">La Alcaldía Local de Usme logró comprometer recurso para 33 propuestas ganadoras de presupuestos participativos (Fase II), logrando un 33% de cumplimiento acumulado a corte de tercer trimestre de 2021, </t>
  </si>
  <si>
    <t>Las Inspecciones de Policía de Usme a corte de 30 de Septiembre  de 2021, Impulsaron procesalmente un total de 7.595 Expedientes Policivos, alcalzando un 98,89%  de avance de ejecución acumulado en el primer semestre de la vigencia 2021.</t>
  </si>
  <si>
    <t>En el tercer trimestre de 2021, la alcaldía local de Usme profirió 3322 fallos en primera instancia sobre los expedientes a cargo de las inspecciones de policía, lo que representa un resultado de 115,34% acumulado en la vigencia 2021.</t>
  </si>
  <si>
    <t xml:space="preserve">La alcaldía local de Usme ha logrado terminar 118 actuaciones administrativas a corte de tercer trimestre de la vigencia 2021, lo que representa un resultado de 86,76% de cumplimiento acumulado.. </t>
  </si>
  <si>
    <t xml:space="preserve">A corte del tercer trimestre de 2021, la alcaldía local de Usme terminó 273 actuaciones administrativas en primera instancia, lo que representa un resultado de 100% para el III trimestre y del 93,81% acumulado para la vigencia.  </t>
  </si>
  <si>
    <t xml:space="preserve">Del 01 de enero al 30 de septiembre de 2021, la Alcaldía Local de Usme realizó 143 operativos en materia de actividad económica en la localidad, logrando un 110 % de cumplimiento acumulado a corte del tercer trimestre. </t>
  </si>
  <si>
    <t>La Alcaldía Local de Usme en el periodo de tiempo del 01 de enero al 30 de septiembre del 2021, realizó 26 operativos de Inspección, Vigilancia y Control en materia de obras y urbanismo en la Localidad, logrando el 76,47% de cumplimiento acumulado de esta meta a corte de tercer semestre.</t>
  </si>
  <si>
    <t>Del 01 de enero al 30 de septiembre de 2021 la Alcaldía Local de Usme, realizó 22 operativos en cerros orientales con acompañamiento de difernetes entidades e instituciones, logrando el 100 % de cumplimiento acumulado a corte del tercer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</si>
</sst>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0.0%"/>
    <numFmt numFmtId="165" formatCode="_-* #,##0_-;\-* #,##0_-;_-* &quot;-&quot;??_-;_-@_-"/>
  </numFmts>
  <fonts count="20"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b/>
      <sz val="11"/>
      <name val="Calibri Light"/>
      <family val="2"/>
    </font>
    <font>
      <sz val="11"/>
      <name val="Calibri Light"/>
      <family val="2"/>
    </font>
    <font>
      <sz val="11"/>
      <color rgb="FF000000"/>
      <name val="Calibri Light"/>
      <family val="2"/>
      <scheme val="major"/>
    </font>
    <font>
      <b/>
      <sz val="11"/>
      <color rgb="FF0070C0"/>
      <name val="Calibri Light"/>
      <family val="2"/>
      <scheme val="major"/>
    </font>
    <font>
      <sz val="11"/>
      <color rgb="FF000000"/>
      <name val="Calibri Light"/>
      <family val="2"/>
    </font>
    <font>
      <sz val="11"/>
      <color rgb="FF0070C0"/>
      <name val="Calibri Light"/>
      <family val="2"/>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34">
    <xf numFmtId="0" fontId="0" fillId="0" borderId="0" xfId="0"/>
    <xf numFmtId="0" fontId="5" fillId="0" borderId="0" xfId="0" applyFont="1" applyAlignment="1" applyProtection="1">
      <alignment vertical="center" wrapText="1"/>
      <protection hidden="1"/>
    </xf>
    <xf numFmtId="0" fontId="6" fillId="5" borderId="1" xfId="0" applyFont="1" applyFill="1" applyBorder="1" applyAlignment="1" applyProtection="1">
      <alignment horizontal="center" vertical="center" wrapText="1"/>
      <protection hidden="1"/>
    </xf>
    <xf numFmtId="10" fontId="5" fillId="0" borderId="1" xfId="2" applyNumberFormat="1" applyFont="1" applyBorder="1" applyAlignment="1" applyProtection="1">
      <alignment horizontal="right" vertical="center" wrapText="1"/>
      <protection hidden="1"/>
    </xf>
    <xf numFmtId="10" fontId="5" fillId="0" borderId="1" xfId="0" applyNumberFormat="1" applyFont="1" applyBorder="1" applyAlignment="1" applyProtection="1">
      <alignment horizontal="left" vertical="center" wrapText="1"/>
      <protection hidden="1"/>
    </xf>
    <xf numFmtId="9" fontId="5" fillId="0" borderId="1" xfId="0" applyNumberFormat="1" applyFont="1" applyBorder="1" applyAlignment="1" applyProtection="1">
      <alignment horizontal="left" vertical="center" wrapText="1"/>
      <protection hidden="1"/>
    </xf>
    <xf numFmtId="9" fontId="5" fillId="0" borderId="1" xfId="0" applyNumberFormat="1" applyFont="1" applyBorder="1" applyAlignment="1" applyProtection="1">
      <alignment horizontal="center" vertical="center" wrapText="1"/>
      <protection hidden="1"/>
    </xf>
    <xf numFmtId="9" fontId="5" fillId="0" borderId="1" xfId="0" applyNumberFormat="1" applyFont="1" applyBorder="1" applyAlignment="1" applyProtection="1">
      <alignment horizontal="justify" vertical="center" wrapText="1"/>
      <protection hidden="1"/>
    </xf>
    <xf numFmtId="0" fontId="5" fillId="0" borderId="0" xfId="0" applyFont="1" applyAlignment="1" applyProtection="1">
      <alignment horizontal="left" vertical="center" wrapText="1"/>
      <protection hidden="1"/>
    </xf>
    <xf numFmtId="9" fontId="5" fillId="0" borderId="1" xfId="2"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41" fontId="5" fillId="0" borderId="1" xfId="1" applyFont="1" applyBorder="1" applyAlignment="1" applyProtection="1">
      <alignment horizontal="left" vertical="center" wrapText="1"/>
      <protection hidden="1"/>
    </xf>
    <xf numFmtId="41" fontId="5" fillId="0" borderId="1" xfId="0" applyNumberFormat="1" applyFont="1" applyBorder="1" applyAlignment="1" applyProtection="1">
      <alignment horizontal="left" vertical="center" wrapText="1"/>
      <protection hidden="1"/>
    </xf>
    <xf numFmtId="41" fontId="5" fillId="0" borderId="1" xfId="1" applyFont="1" applyBorder="1" applyAlignment="1" applyProtection="1">
      <alignment horizontal="center" vertical="center" wrapText="1"/>
      <protection hidden="1"/>
    </xf>
    <xf numFmtId="0" fontId="5" fillId="0" borderId="1" xfId="0" applyFont="1" applyBorder="1" applyAlignment="1" applyProtection="1">
      <alignment horizontal="right" vertical="center" wrapText="1"/>
      <protection hidden="1"/>
    </xf>
    <xf numFmtId="0" fontId="8" fillId="2" borderId="1" xfId="0" applyFont="1" applyFill="1" applyBorder="1" applyAlignment="1" applyProtection="1">
      <alignment vertical="center" wrapText="1"/>
      <protection hidden="1"/>
    </xf>
    <xf numFmtId="0" fontId="9" fillId="2" borderId="1" xfId="0" applyFont="1" applyFill="1" applyBorder="1" applyAlignment="1" applyProtection="1">
      <alignment vertical="center"/>
      <protection hidden="1"/>
    </xf>
    <xf numFmtId="9" fontId="9" fillId="2" borderId="1" xfId="2" applyFont="1" applyFill="1" applyBorder="1" applyAlignment="1" applyProtection="1">
      <alignment vertical="center" wrapText="1"/>
      <protection hidden="1"/>
    </xf>
    <xf numFmtId="0" fontId="8" fillId="0" borderId="0" xfId="0" applyFont="1" applyAlignment="1" applyProtection="1">
      <alignment vertical="center" wrapText="1"/>
      <protection hidden="1"/>
    </xf>
    <xf numFmtId="0" fontId="10" fillId="0" borderId="1" xfId="0" applyFont="1" applyBorder="1" applyAlignment="1" applyProtection="1">
      <alignment horizontal="left" vertical="center" wrapText="1"/>
      <protection hidden="1"/>
    </xf>
    <xf numFmtId="9" fontId="10" fillId="0" borderId="1" xfId="0" applyNumberFormat="1" applyFont="1" applyBorder="1" applyAlignment="1" applyProtection="1">
      <alignment horizontal="right" vertical="center" wrapText="1"/>
      <protection hidden="1"/>
    </xf>
    <xf numFmtId="0" fontId="10" fillId="3" borderId="1" xfId="0" applyFont="1" applyFill="1" applyBorder="1" applyAlignment="1" applyProtection="1">
      <alignment horizontal="left" vertical="center" wrapText="1"/>
      <protection hidden="1"/>
    </xf>
    <xf numFmtId="9" fontId="10" fillId="3" borderId="1" xfId="0" applyNumberFormat="1" applyFont="1" applyFill="1" applyBorder="1" applyAlignment="1" applyProtection="1">
      <alignment horizontal="right" vertical="center" wrapText="1"/>
      <protection hidden="1"/>
    </xf>
    <xf numFmtId="9" fontId="10" fillId="0" borderId="1" xfId="2" applyFont="1" applyBorder="1" applyAlignment="1" applyProtection="1">
      <alignment horizontal="center" vertical="center" wrapText="1"/>
      <protection hidden="1"/>
    </xf>
    <xf numFmtId="9" fontId="10" fillId="0" borderId="1" xfId="2" applyFont="1" applyBorder="1" applyAlignment="1" applyProtection="1">
      <alignment horizontal="justify" vertical="center" wrapText="1"/>
      <protection hidden="1"/>
    </xf>
    <xf numFmtId="9" fontId="10" fillId="0" borderId="1" xfId="0" applyNumberFormat="1"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9" fontId="10" fillId="3" borderId="1" xfId="2" applyFont="1" applyFill="1" applyBorder="1" applyAlignment="1" applyProtection="1">
      <alignment horizontal="right" vertical="center" wrapText="1"/>
      <protection hidden="1"/>
    </xf>
    <xf numFmtId="0" fontId="10" fillId="0" borderId="1" xfId="0" applyFont="1" applyBorder="1" applyAlignment="1" applyProtection="1">
      <alignment horizontal="justify" vertical="center" wrapText="1"/>
      <protection hidden="1"/>
    </xf>
    <xf numFmtId="10" fontId="10" fillId="0" borderId="1" xfId="0" applyNumberFormat="1" applyFont="1" applyBorder="1" applyAlignment="1" applyProtection="1">
      <alignment horizontal="center" vertical="center" wrapText="1"/>
      <protection hidden="1"/>
    </xf>
    <xf numFmtId="164" fontId="10" fillId="0" borderId="1" xfId="0" applyNumberFormat="1" applyFont="1" applyBorder="1" applyAlignment="1" applyProtection="1">
      <alignment horizontal="center" vertical="center" wrapText="1"/>
      <protection hidden="1"/>
    </xf>
    <xf numFmtId="164" fontId="5" fillId="0" borderId="1" xfId="0" applyNumberFormat="1"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6" fillId="2" borderId="1" xfId="0" applyFont="1" applyFill="1" applyBorder="1" applyAlignment="1" applyProtection="1">
      <alignment vertical="center" wrapText="1"/>
      <protection hidden="1"/>
    </xf>
    <xf numFmtId="0" fontId="5" fillId="0" borderId="0" xfId="0" applyFont="1" applyAlignment="1" applyProtection="1">
      <alignment horizontal="justify" vertical="center" wrapText="1"/>
      <protection hidden="1"/>
    </xf>
    <xf numFmtId="0" fontId="11" fillId="2" borderId="1" xfId="0" applyFont="1" applyFill="1" applyBorder="1" applyAlignment="1" applyProtection="1">
      <alignment vertical="center" wrapText="1"/>
      <protection hidden="1"/>
    </xf>
    <xf numFmtId="9" fontId="11" fillId="2" borderId="1" xfId="2" applyFont="1" applyFill="1" applyBorder="1" applyAlignment="1" applyProtection="1">
      <alignment vertical="center" wrapText="1"/>
      <protection hidden="1"/>
    </xf>
    <xf numFmtId="9" fontId="11" fillId="2" borderId="1" xfId="0" applyNumberFormat="1"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3" fillId="4" borderId="1" xfId="0" applyFont="1" applyFill="1" applyBorder="1" applyAlignment="1" applyProtection="1">
      <alignment vertical="center" wrapText="1"/>
      <protection hidden="1"/>
    </xf>
    <xf numFmtId="9" fontId="13" fillId="4" borderId="1" xfId="2" applyFont="1" applyFill="1" applyBorder="1" applyAlignment="1" applyProtection="1">
      <alignment vertical="center" wrapText="1"/>
      <protection hidden="1"/>
    </xf>
    <xf numFmtId="9" fontId="12" fillId="4" borderId="1" xfId="2" applyFont="1" applyFill="1" applyBorder="1" applyAlignment="1" applyProtection="1">
      <alignment vertical="center" wrapText="1"/>
      <protection hidden="1"/>
    </xf>
    <xf numFmtId="0" fontId="12" fillId="0" borderId="0" xfId="0" applyFont="1" applyAlignment="1" applyProtection="1">
      <alignment vertical="center" wrapText="1"/>
      <protection hidden="1"/>
    </xf>
    <xf numFmtId="10" fontId="10" fillId="0" borderId="1" xfId="2" applyNumberFormat="1" applyFont="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0" fontId="6" fillId="6"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10" fontId="7" fillId="0" borderId="1" xfId="2" applyNumberFormat="1" applyFont="1" applyBorder="1" applyAlignment="1" applyProtection="1">
      <alignment horizontal="right" vertical="center" wrapText="1"/>
      <protection hidden="1"/>
    </xf>
    <xf numFmtId="9" fontId="7" fillId="0" borderId="1" xfId="0" applyNumberFormat="1" applyFont="1" applyBorder="1" applyAlignment="1" applyProtection="1">
      <alignment horizontal="left" vertical="center" wrapText="1"/>
      <protection hidden="1"/>
    </xf>
    <xf numFmtId="9" fontId="7" fillId="0" borderId="1" xfId="0" applyNumberFormat="1"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9" fontId="10" fillId="0" borderId="1" xfId="2" applyFont="1" applyBorder="1" applyAlignment="1" applyProtection="1">
      <alignment horizontal="justify" vertical="top" wrapText="1"/>
      <protection hidden="1"/>
    </xf>
    <xf numFmtId="0" fontId="5" fillId="0" borderId="0" xfId="0" applyFont="1" applyAlignment="1" applyProtection="1">
      <alignment horizontal="justify" vertical="top" wrapText="1"/>
      <protection hidden="1"/>
    </xf>
    <xf numFmtId="0" fontId="10" fillId="0" borderId="1" xfId="0" applyFont="1" applyBorder="1" applyAlignment="1" applyProtection="1">
      <alignment horizontal="justify" vertical="top" wrapText="1"/>
      <protection hidden="1"/>
    </xf>
    <xf numFmtId="9" fontId="5" fillId="0" borderId="1" xfId="0" applyNumberFormat="1" applyFont="1" applyBorder="1" applyAlignment="1" applyProtection="1">
      <alignment horizontal="justify" vertical="top" wrapText="1"/>
      <protection hidden="1"/>
    </xf>
    <xf numFmtId="9" fontId="6" fillId="2" borderId="1" xfId="2" applyFont="1" applyFill="1" applyBorder="1" applyAlignment="1" applyProtection="1">
      <alignment horizontal="center" vertical="center" wrapText="1"/>
      <protection hidden="1"/>
    </xf>
    <xf numFmtId="0" fontId="5" fillId="2" borderId="1" xfId="0" applyFont="1" applyFill="1" applyBorder="1" applyAlignment="1" applyProtection="1">
      <alignment horizontal="justify" vertical="center" wrapText="1"/>
      <protection hidden="1"/>
    </xf>
    <xf numFmtId="10" fontId="6" fillId="2" borderId="1" xfId="2"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justify" vertical="top" wrapText="1"/>
      <protection hidden="1"/>
    </xf>
    <xf numFmtId="9" fontId="6" fillId="2" borderId="1" xfId="2" applyFont="1" applyFill="1" applyBorder="1" applyAlignment="1" applyProtection="1">
      <alignment vertical="center" wrapText="1"/>
      <protection hidden="1"/>
    </xf>
    <xf numFmtId="0" fontId="5" fillId="2" borderId="1" xfId="0" applyFont="1" applyFill="1" applyBorder="1" applyAlignment="1" applyProtection="1">
      <alignment horizontal="center" vertical="center" wrapText="1"/>
      <protection hidden="1"/>
    </xf>
    <xf numFmtId="9" fontId="17" fillId="2" borderId="1" xfId="0" applyNumberFormat="1" applyFont="1" applyFill="1" applyBorder="1" applyAlignment="1" applyProtection="1">
      <alignment horizontal="center" vertical="center" wrapText="1"/>
      <protection hidden="1"/>
    </xf>
    <xf numFmtId="10" fontId="17" fillId="2" borderId="1" xfId="0" applyNumberFormat="1" applyFont="1" applyFill="1" applyBorder="1" applyAlignment="1" applyProtection="1">
      <alignment horizontal="center" vertical="center" wrapText="1"/>
      <protection hidden="1"/>
    </xf>
    <xf numFmtId="10" fontId="5" fillId="2" borderId="1" xfId="0" applyNumberFormat="1" applyFont="1" applyFill="1" applyBorder="1" applyAlignment="1" applyProtection="1">
      <alignment horizontal="justify" vertical="top" wrapText="1"/>
      <protection hidden="1"/>
    </xf>
    <xf numFmtId="10" fontId="5" fillId="2" borderId="1" xfId="0" applyNumberFormat="1" applyFont="1" applyFill="1" applyBorder="1" applyAlignment="1" applyProtection="1">
      <alignment horizontal="center" vertical="center" wrapText="1"/>
      <protection hidden="1"/>
    </xf>
    <xf numFmtId="9" fontId="5" fillId="4" borderId="1" xfId="2" applyFont="1" applyFill="1" applyBorder="1" applyAlignment="1" applyProtection="1">
      <alignment horizontal="center" vertical="center" wrapText="1"/>
      <protection hidden="1"/>
    </xf>
    <xf numFmtId="9" fontId="6" fillId="4" borderId="1" xfId="0" applyNumberFormat="1" applyFont="1" applyFill="1" applyBorder="1" applyAlignment="1" applyProtection="1">
      <alignment horizontal="center" vertical="center" wrapText="1"/>
      <protection hidden="1"/>
    </xf>
    <xf numFmtId="0" fontId="5" fillId="4" borderId="1" xfId="0" applyFont="1" applyFill="1" applyBorder="1" applyAlignment="1" applyProtection="1">
      <alignment horizontal="justify" vertical="center" wrapText="1"/>
      <protection hidden="1"/>
    </xf>
    <xf numFmtId="10" fontId="6" fillId="4" borderId="1" xfId="0" applyNumberFormat="1" applyFont="1" applyFill="1" applyBorder="1" applyAlignment="1" applyProtection="1">
      <alignment horizontal="center" vertical="center" wrapText="1"/>
      <protection hidden="1"/>
    </xf>
    <xf numFmtId="10" fontId="5" fillId="4" borderId="1" xfId="0" applyNumberFormat="1" applyFont="1" applyFill="1" applyBorder="1" applyAlignment="1" applyProtection="1">
      <alignment horizontal="justify" vertical="top" wrapText="1"/>
      <protection hidden="1"/>
    </xf>
    <xf numFmtId="10" fontId="5" fillId="4" borderId="1" xfId="2" applyNumberFormat="1" applyFont="1" applyFill="1" applyBorder="1" applyAlignment="1" applyProtection="1">
      <alignment horizontal="center" vertical="center" wrapText="1"/>
      <protection hidden="1"/>
    </xf>
    <xf numFmtId="10" fontId="5" fillId="4" borderId="1" xfId="0" applyNumberFormat="1" applyFont="1" applyFill="1" applyBorder="1" applyAlignment="1" applyProtection="1">
      <alignment horizontal="center" vertical="center" wrapText="1"/>
      <protection hidden="1"/>
    </xf>
    <xf numFmtId="0" fontId="5" fillId="4" borderId="1" xfId="0" applyFont="1" applyFill="1" applyBorder="1" applyAlignment="1" applyProtection="1">
      <alignment horizontal="justify" vertical="top" wrapText="1"/>
      <protection hidden="1"/>
    </xf>
    <xf numFmtId="165" fontId="5" fillId="0" borderId="1" xfId="3" applyNumberFormat="1" applyFont="1" applyBorder="1" applyAlignment="1" applyProtection="1">
      <alignment horizontal="justify" vertical="top"/>
    </xf>
    <xf numFmtId="10" fontId="16" fillId="0" borderId="4" xfId="0" applyNumberFormat="1" applyFont="1" applyBorder="1" applyAlignment="1">
      <alignment horizontal="center" vertical="center" wrapText="1"/>
    </xf>
    <xf numFmtId="10" fontId="16" fillId="0" borderId="4" xfId="0" applyNumberFormat="1" applyFont="1" applyBorder="1" applyAlignment="1">
      <alignment horizontal="justify" vertical="top" wrapText="1"/>
    </xf>
    <xf numFmtId="0" fontId="5" fillId="0" borderId="1" xfId="0" applyFont="1" applyBorder="1" applyAlignment="1">
      <alignment horizontal="justify" vertical="top" wrapText="1"/>
    </xf>
    <xf numFmtId="9" fontId="5" fillId="0" borderId="1" xfId="2" applyFont="1" applyBorder="1" applyAlignment="1" applyProtection="1">
      <alignment horizontal="right" vertical="center" wrapText="1"/>
    </xf>
    <xf numFmtId="10" fontId="5" fillId="0" borderId="1" xfId="2" applyNumberFormat="1" applyFont="1" applyBorder="1" applyAlignment="1" applyProtection="1">
      <alignment horizontal="center" vertical="center" wrapText="1"/>
    </xf>
    <xf numFmtId="164" fontId="16" fillId="0" borderId="1" xfId="0" applyNumberFormat="1" applyFont="1" applyBorder="1" applyAlignment="1">
      <alignment horizontal="center" vertical="center" wrapText="1"/>
    </xf>
    <xf numFmtId="0" fontId="16" fillId="0" borderId="1" xfId="0" applyFont="1" applyBorder="1" applyAlignment="1">
      <alignment horizontal="justify" vertical="top" wrapText="1"/>
    </xf>
    <xf numFmtId="9" fontId="16" fillId="0" borderId="6" xfId="0" applyNumberFormat="1" applyFont="1" applyBorder="1" applyAlignment="1">
      <alignment horizontal="center" vertical="center" wrapText="1"/>
    </xf>
    <xf numFmtId="0" fontId="16" fillId="0" borderId="7" xfId="0" applyFont="1" applyBorder="1" applyAlignment="1">
      <alignment horizontal="justify" vertical="top" wrapText="1"/>
    </xf>
    <xf numFmtId="9"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0" fontId="7" fillId="0" borderId="1" xfId="0" applyNumberFormat="1" applyFont="1" applyBorder="1" applyAlignment="1">
      <alignment horizontal="center" vertical="center" wrapText="1"/>
    </xf>
    <xf numFmtId="10" fontId="7" fillId="0" borderId="4" xfId="0" applyNumberFormat="1" applyFont="1" applyBorder="1" applyAlignment="1">
      <alignment horizontal="center" vertical="center" wrapText="1"/>
    </xf>
    <xf numFmtId="0" fontId="7" fillId="0" borderId="4" xfId="0" applyFont="1" applyBorder="1" applyAlignment="1">
      <alignment horizontal="justify" vertical="top" wrapText="1"/>
    </xf>
    <xf numFmtId="9" fontId="7" fillId="0" borderId="1" xfId="2" applyFont="1" applyBorder="1" applyAlignment="1" applyProtection="1">
      <alignment horizontal="right" vertical="center" wrapText="1"/>
    </xf>
    <xf numFmtId="10" fontId="7" fillId="0" borderId="1" xfId="2" applyNumberFormat="1" applyFont="1" applyBorder="1" applyAlignment="1" applyProtection="1">
      <alignment horizontal="center" vertical="center" wrapText="1"/>
    </xf>
    <xf numFmtId="10"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10" fontId="16" fillId="0" borderId="6"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6" fillId="0" borderId="4" xfId="0" applyFont="1" applyBorder="1" applyAlignment="1">
      <alignment horizontal="justify" vertical="top" wrapText="1"/>
    </xf>
    <xf numFmtId="1" fontId="5" fillId="0" borderId="1" xfId="0" applyNumberFormat="1" applyFont="1" applyBorder="1" applyAlignment="1">
      <alignment horizontal="right" vertical="center" wrapText="1"/>
    </xf>
    <xf numFmtId="0" fontId="16" fillId="0" borderId="6" xfId="0" applyFont="1" applyBorder="1" applyAlignment="1">
      <alignment horizontal="center" vertical="center" wrapText="1"/>
    </xf>
    <xf numFmtId="9" fontId="10" fillId="0" borderId="1"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10" fontId="18" fillId="0" borderId="4" xfId="0" applyNumberFormat="1" applyFont="1" applyBorder="1" applyAlignment="1">
      <alignment horizontal="center" vertical="center" wrapText="1"/>
    </xf>
    <xf numFmtId="9" fontId="18" fillId="0" borderId="6" xfId="0" applyNumberFormat="1" applyFont="1" applyBorder="1" applyAlignment="1">
      <alignment horizontal="center" vertical="center" wrapText="1"/>
    </xf>
    <xf numFmtId="10" fontId="18" fillId="0" borderId="7" xfId="0" applyNumberFormat="1" applyFont="1" applyBorder="1" applyAlignment="1">
      <alignment horizontal="center" vertical="center" wrapText="1"/>
    </xf>
    <xf numFmtId="9" fontId="15" fillId="0" borderId="6" xfId="0" applyNumberFormat="1" applyFont="1" applyBorder="1" applyAlignment="1">
      <alignment horizontal="center" vertical="center" wrapText="1"/>
    </xf>
    <xf numFmtId="10" fontId="15" fillId="0" borderId="7" xfId="0" applyNumberFormat="1" applyFont="1" applyBorder="1" applyAlignment="1">
      <alignment horizontal="center" vertical="center" wrapText="1"/>
    </xf>
    <xf numFmtId="0" fontId="18" fillId="0" borderId="6" xfId="0" applyFont="1" applyBorder="1" applyAlignment="1">
      <alignment horizontal="center" vertical="center" wrapText="1"/>
    </xf>
    <xf numFmtId="9" fontId="19" fillId="0" borderId="1"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6" xfId="0" applyNumberFormat="1" applyFont="1" applyBorder="1" applyAlignment="1">
      <alignment horizontal="center" vertical="center" wrapText="1"/>
    </xf>
    <xf numFmtId="9" fontId="19" fillId="0" borderId="7" xfId="0" applyNumberFormat="1" applyFont="1" applyBorder="1" applyAlignment="1">
      <alignment horizontal="center" vertical="center" wrapText="1"/>
    </xf>
    <xf numFmtId="0" fontId="16" fillId="0" borderId="7" xfId="0" applyFont="1" applyBorder="1" applyAlignment="1">
      <alignment horizontal="justify" vertical="center" wrapText="1"/>
    </xf>
    <xf numFmtId="41" fontId="16" fillId="0" borderId="6" xfId="0" applyNumberFormat="1" applyFont="1" applyBorder="1" applyAlignment="1">
      <alignment horizontal="center" vertical="center" wrapText="1"/>
    </xf>
    <xf numFmtId="0" fontId="6" fillId="5" borderId="2"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6" fillId="5" borderId="4"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cellXfs>
  <cellStyles count="4">
    <cellStyle name="Millares" xfId="3" builtinId="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9" name="Imagen 1">
          <a:extLst>
            <a:ext uri="{FF2B5EF4-FFF2-40B4-BE49-F238E27FC236}">
              <a16:creationId xmlns:a16="http://schemas.microsoft.com/office/drawing/2014/main" xmlns="" id="{28CB36BB-ACA2-4044-B0AF-37E155F68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topLeftCell="AG36" zoomScale="80" zoomScaleNormal="80" workbookViewId="0">
      <selection activeCell="AS36" sqref="AS36"/>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20" style="1" customWidth="1"/>
    <col min="7" max="7" width="19.2851562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4" width="16.5703125" style="32" customWidth="1"/>
    <col min="25" max="25" width="39.28515625" style="34" customWidth="1"/>
    <col min="26" max="26" width="16.5703125" style="34" customWidth="1"/>
    <col min="27" max="27" width="21.85546875" style="32" customWidth="1"/>
    <col min="28" max="29" width="16.5703125" style="32" customWidth="1"/>
    <col min="30" max="30" width="73.7109375" style="58" customWidth="1"/>
    <col min="31" max="31" width="36.5703125" style="58" customWidth="1"/>
    <col min="32" max="32" width="19.42578125" style="32" customWidth="1"/>
    <col min="33" max="36" width="16.5703125" style="32" customWidth="1"/>
    <col min="37" max="37" width="20.42578125" style="32" hidden="1" customWidth="1"/>
    <col min="38" max="41" width="16.5703125" style="32" hidden="1" customWidth="1"/>
    <col min="42" max="43" width="16.5703125" style="32" customWidth="1"/>
    <col min="44" max="44" width="21.5703125" style="32" customWidth="1"/>
    <col min="45" max="45" width="58.28515625" style="58" customWidth="1"/>
    <col min="46" max="16384" width="10.85546875" style="1"/>
  </cols>
  <sheetData>
    <row r="1" spans="1:45" ht="70.5" customHeight="1" x14ac:dyDescent="0.25">
      <c r="A1" s="130" t="s">
        <v>0</v>
      </c>
      <c r="B1" s="124"/>
      <c r="C1" s="124"/>
      <c r="D1" s="124"/>
      <c r="E1" s="124"/>
      <c r="F1" s="124"/>
      <c r="G1" s="124"/>
      <c r="H1" s="124"/>
      <c r="I1" s="124"/>
      <c r="J1" s="124"/>
      <c r="K1" s="124"/>
      <c r="L1" s="131" t="s">
        <v>1</v>
      </c>
      <c r="M1" s="131"/>
      <c r="N1" s="131"/>
      <c r="O1" s="131"/>
      <c r="P1" s="131"/>
    </row>
    <row r="2" spans="1:45" ht="23.45" customHeight="1" x14ac:dyDescent="0.25">
      <c r="A2" s="132" t="s">
        <v>2</v>
      </c>
      <c r="B2" s="133"/>
      <c r="C2" s="133"/>
      <c r="D2" s="133"/>
      <c r="E2" s="133"/>
      <c r="F2" s="133"/>
      <c r="G2" s="133"/>
      <c r="H2" s="133"/>
      <c r="I2" s="133"/>
      <c r="J2" s="133"/>
      <c r="K2" s="133"/>
      <c r="L2" s="133"/>
      <c r="M2" s="133"/>
      <c r="N2" s="133"/>
      <c r="O2" s="133"/>
      <c r="P2" s="133"/>
    </row>
    <row r="3" spans="1:45" x14ac:dyDescent="0.25"/>
    <row r="4" spans="1:45" ht="29.1" customHeight="1" x14ac:dyDescent="0.25">
      <c r="A4" s="123" t="s">
        <v>3</v>
      </c>
      <c r="B4" s="123"/>
      <c r="C4" s="131" t="s">
        <v>4</v>
      </c>
      <c r="D4" s="131"/>
      <c r="F4" s="123" t="s">
        <v>5</v>
      </c>
      <c r="G4" s="123"/>
      <c r="H4" s="123"/>
      <c r="I4" s="123"/>
      <c r="J4" s="123"/>
      <c r="K4" s="123"/>
    </row>
    <row r="5" spans="1:45" x14ac:dyDescent="0.25">
      <c r="A5" s="123"/>
      <c r="B5" s="123"/>
      <c r="C5" s="131"/>
      <c r="D5" s="131"/>
      <c r="F5" s="33" t="s">
        <v>6</v>
      </c>
      <c r="G5" s="33" t="s">
        <v>7</v>
      </c>
      <c r="H5" s="123" t="s">
        <v>8</v>
      </c>
      <c r="I5" s="123"/>
      <c r="J5" s="123"/>
      <c r="K5" s="123"/>
    </row>
    <row r="6" spans="1:45" ht="30" x14ac:dyDescent="0.25">
      <c r="A6" s="123"/>
      <c r="B6" s="123"/>
      <c r="C6" s="131"/>
      <c r="D6" s="131"/>
      <c r="F6" s="45">
        <v>1</v>
      </c>
      <c r="G6" s="45" t="s">
        <v>9</v>
      </c>
      <c r="H6" s="124" t="s">
        <v>10</v>
      </c>
      <c r="I6" s="124"/>
      <c r="J6" s="124"/>
      <c r="K6" s="124"/>
    </row>
    <row r="7" spans="1:45" ht="192.75" customHeight="1" x14ac:dyDescent="0.25">
      <c r="A7" s="123"/>
      <c r="B7" s="123"/>
      <c r="C7" s="131"/>
      <c r="D7" s="131"/>
      <c r="F7" s="45">
        <v>2</v>
      </c>
      <c r="G7" s="45" t="s">
        <v>11</v>
      </c>
      <c r="H7" s="125" t="s">
        <v>12</v>
      </c>
      <c r="I7" s="125"/>
      <c r="J7" s="125"/>
      <c r="K7" s="125"/>
    </row>
    <row r="8" spans="1:45" ht="46.5" customHeight="1" x14ac:dyDescent="0.25">
      <c r="A8" s="123"/>
      <c r="B8" s="123"/>
      <c r="C8" s="131"/>
      <c r="D8" s="131"/>
      <c r="F8" s="45">
        <v>3</v>
      </c>
      <c r="G8" s="45" t="s">
        <v>13</v>
      </c>
      <c r="H8" s="125" t="s">
        <v>14</v>
      </c>
      <c r="I8" s="125"/>
      <c r="J8" s="125"/>
      <c r="K8" s="125"/>
    </row>
    <row r="9" spans="1:45" x14ac:dyDescent="0.25">
      <c r="AD9" s="79"/>
      <c r="AE9" s="79"/>
    </row>
    <row r="10" spans="1:45" ht="14.45" customHeight="1" x14ac:dyDescent="0.25">
      <c r="A10" s="123" t="s">
        <v>15</v>
      </c>
      <c r="B10" s="123"/>
      <c r="C10" s="123" t="s">
        <v>16</v>
      </c>
      <c r="D10" s="123" t="s">
        <v>17</v>
      </c>
      <c r="E10" s="123"/>
      <c r="F10" s="123"/>
      <c r="G10" s="123"/>
      <c r="H10" s="123"/>
      <c r="I10" s="123"/>
      <c r="J10" s="123"/>
      <c r="K10" s="123"/>
      <c r="L10" s="123"/>
      <c r="M10" s="123"/>
      <c r="N10" s="123"/>
      <c r="O10" s="123"/>
      <c r="P10" s="123"/>
      <c r="Q10" s="126" t="s">
        <v>18</v>
      </c>
      <c r="R10" s="126"/>
      <c r="S10" s="126"/>
      <c r="T10" s="126"/>
      <c r="U10" s="126"/>
      <c r="V10" s="122" t="s">
        <v>19</v>
      </c>
      <c r="W10" s="122"/>
      <c r="X10" s="122"/>
      <c r="Y10" s="122"/>
      <c r="Z10" s="122"/>
      <c r="AA10" s="127" t="s">
        <v>19</v>
      </c>
      <c r="AB10" s="127"/>
      <c r="AC10" s="127"/>
      <c r="AD10" s="127"/>
      <c r="AE10" s="127"/>
      <c r="AF10" s="128" t="s">
        <v>19</v>
      </c>
      <c r="AG10" s="128"/>
      <c r="AH10" s="128"/>
      <c r="AI10" s="128"/>
      <c r="AJ10" s="128"/>
      <c r="AK10" s="129" t="s">
        <v>19</v>
      </c>
      <c r="AL10" s="129"/>
      <c r="AM10" s="129"/>
      <c r="AN10" s="129"/>
      <c r="AO10" s="129"/>
      <c r="AP10" s="119" t="s">
        <v>20</v>
      </c>
      <c r="AQ10" s="120"/>
      <c r="AR10" s="120"/>
      <c r="AS10" s="121"/>
    </row>
    <row r="11" spans="1:45" ht="14.45" customHeight="1" x14ac:dyDescent="0.25">
      <c r="A11" s="123"/>
      <c r="B11" s="123"/>
      <c r="C11" s="123"/>
      <c r="D11" s="123"/>
      <c r="E11" s="123"/>
      <c r="F11" s="123"/>
      <c r="G11" s="123"/>
      <c r="H11" s="123"/>
      <c r="I11" s="123"/>
      <c r="J11" s="123"/>
      <c r="K11" s="123"/>
      <c r="L11" s="123"/>
      <c r="M11" s="123"/>
      <c r="N11" s="123"/>
      <c r="O11" s="123"/>
      <c r="P11" s="123"/>
      <c r="Q11" s="126"/>
      <c r="R11" s="126"/>
      <c r="S11" s="126"/>
      <c r="T11" s="126"/>
      <c r="U11" s="126"/>
      <c r="V11" s="122" t="s">
        <v>21</v>
      </c>
      <c r="W11" s="122"/>
      <c r="X11" s="122"/>
      <c r="Y11" s="122"/>
      <c r="Z11" s="122"/>
      <c r="AA11" s="127" t="s">
        <v>22</v>
      </c>
      <c r="AB11" s="127"/>
      <c r="AC11" s="127"/>
      <c r="AD11" s="127"/>
      <c r="AE11" s="127"/>
      <c r="AF11" s="128" t="s">
        <v>23</v>
      </c>
      <c r="AG11" s="128"/>
      <c r="AH11" s="128"/>
      <c r="AI11" s="128"/>
      <c r="AJ11" s="128"/>
      <c r="AK11" s="129" t="s">
        <v>24</v>
      </c>
      <c r="AL11" s="129"/>
      <c r="AM11" s="129"/>
      <c r="AN11" s="129"/>
      <c r="AO11" s="129"/>
      <c r="AP11" s="119" t="s">
        <v>25</v>
      </c>
      <c r="AQ11" s="120"/>
      <c r="AR11" s="120"/>
      <c r="AS11" s="121"/>
    </row>
    <row r="12" spans="1:45" ht="60" x14ac:dyDescent="0.25">
      <c r="A12" s="44" t="s">
        <v>26</v>
      </c>
      <c r="B12" s="44" t="s">
        <v>27</v>
      </c>
      <c r="C12" s="123"/>
      <c r="D12" s="44" t="s">
        <v>28</v>
      </c>
      <c r="E12" s="44" t="s">
        <v>29</v>
      </c>
      <c r="F12" s="44" t="s">
        <v>30</v>
      </c>
      <c r="G12" s="44" t="s">
        <v>31</v>
      </c>
      <c r="H12" s="44" t="s">
        <v>32</v>
      </c>
      <c r="I12" s="44" t="s">
        <v>33</v>
      </c>
      <c r="J12" s="44" t="s">
        <v>34</v>
      </c>
      <c r="K12" s="44" t="s">
        <v>35</v>
      </c>
      <c r="L12" s="44" t="s">
        <v>36</v>
      </c>
      <c r="M12" s="44" t="s">
        <v>37</v>
      </c>
      <c r="N12" s="44" t="s">
        <v>38</v>
      </c>
      <c r="O12" s="44" t="s">
        <v>39</v>
      </c>
      <c r="P12" s="44" t="s">
        <v>40</v>
      </c>
      <c r="Q12" s="48" t="s">
        <v>41</v>
      </c>
      <c r="R12" s="48" t="s">
        <v>42</v>
      </c>
      <c r="S12" s="48" t="s">
        <v>43</v>
      </c>
      <c r="T12" s="48" t="s">
        <v>44</v>
      </c>
      <c r="U12" s="48" t="s">
        <v>45</v>
      </c>
      <c r="V12" s="47" t="s">
        <v>46</v>
      </c>
      <c r="W12" s="47" t="s">
        <v>47</v>
      </c>
      <c r="X12" s="47" t="s">
        <v>48</v>
      </c>
      <c r="Y12" s="47" t="s">
        <v>49</v>
      </c>
      <c r="Z12" s="47" t="s">
        <v>50</v>
      </c>
      <c r="AA12" s="49" t="s">
        <v>46</v>
      </c>
      <c r="AB12" s="49" t="s">
        <v>47</v>
      </c>
      <c r="AC12" s="49" t="s">
        <v>48</v>
      </c>
      <c r="AD12" s="49" t="s">
        <v>49</v>
      </c>
      <c r="AE12" s="49" t="s">
        <v>50</v>
      </c>
      <c r="AF12" s="50" t="s">
        <v>46</v>
      </c>
      <c r="AG12" s="50" t="s">
        <v>47</v>
      </c>
      <c r="AH12" s="50" t="s">
        <v>48</v>
      </c>
      <c r="AI12" s="50" t="s">
        <v>49</v>
      </c>
      <c r="AJ12" s="50" t="s">
        <v>50</v>
      </c>
      <c r="AK12" s="51" t="s">
        <v>46</v>
      </c>
      <c r="AL12" s="51" t="s">
        <v>47</v>
      </c>
      <c r="AM12" s="51" t="s">
        <v>48</v>
      </c>
      <c r="AN12" s="51" t="s">
        <v>49</v>
      </c>
      <c r="AO12" s="51" t="s">
        <v>50</v>
      </c>
      <c r="AP12" s="2" t="s">
        <v>46</v>
      </c>
      <c r="AQ12" s="2" t="s">
        <v>47</v>
      </c>
      <c r="AR12" s="2" t="s">
        <v>48</v>
      </c>
      <c r="AS12" s="2" t="s">
        <v>51</v>
      </c>
    </row>
    <row r="13" spans="1:45" s="8" customFormat="1" ht="405" x14ac:dyDescent="0.25">
      <c r="A13" s="46">
        <v>4</v>
      </c>
      <c r="B13" s="46" t="s">
        <v>52</v>
      </c>
      <c r="C13" s="46" t="s">
        <v>53</v>
      </c>
      <c r="D13" s="46" t="s">
        <v>54</v>
      </c>
      <c r="E13" s="3">
        <f t="shared" ref="E13:E30" si="0">+(5.55555555555556%*80%)/100%</f>
        <v>4.4444444444444481E-2</v>
      </c>
      <c r="F13" s="46" t="s">
        <v>55</v>
      </c>
      <c r="G13" s="46" t="s">
        <v>56</v>
      </c>
      <c r="H13" s="46" t="s">
        <v>57</v>
      </c>
      <c r="I13" s="4">
        <v>6.6000000000000003E-2</v>
      </c>
      <c r="J13" s="46" t="s">
        <v>58</v>
      </c>
      <c r="K13" s="46" t="s">
        <v>59</v>
      </c>
      <c r="L13" s="5">
        <v>0</v>
      </c>
      <c r="M13" s="5">
        <v>0.02</v>
      </c>
      <c r="N13" s="5">
        <v>0.06</v>
      </c>
      <c r="O13" s="5">
        <v>0.1</v>
      </c>
      <c r="P13" s="5">
        <v>0.1</v>
      </c>
      <c r="Q13" s="46" t="s">
        <v>60</v>
      </c>
      <c r="R13" s="46" t="s">
        <v>61</v>
      </c>
      <c r="S13" s="46" t="s">
        <v>62</v>
      </c>
      <c r="T13" s="46" t="s">
        <v>63</v>
      </c>
      <c r="U13" s="46" t="s">
        <v>64</v>
      </c>
      <c r="V13" s="6" t="s">
        <v>65</v>
      </c>
      <c r="W13" s="6" t="s">
        <v>65</v>
      </c>
      <c r="X13" s="6" t="s">
        <v>65</v>
      </c>
      <c r="Y13" s="7" t="s">
        <v>66</v>
      </c>
      <c r="Z13" s="7" t="s">
        <v>65</v>
      </c>
      <c r="AA13" s="31">
        <v>5.0000000000000001E-3</v>
      </c>
      <c r="AB13" s="31">
        <v>5.0000000000000001E-3</v>
      </c>
      <c r="AC13" s="80">
        <f>IF(AB13/AA13&gt;100%,100%,AB13/AA13)</f>
        <v>1</v>
      </c>
      <c r="AD13" s="81" t="s">
        <v>67</v>
      </c>
      <c r="AE13" s="82" t="s">
        <v>68</v>
      </c>
      <c r="AF13" s="6">
        <f>N13</f>
        <v>0.06</v>
      </c>
      <c r="AG13" s="106">
        <v>0.20100000000000001</v>
      </c>
      <c r="AH13" s="107">
        <v>1</v>
      </c>
      <c r="AI13" s="117" t="s">
        <v>69</v>
      </c>
      <c r="AJ13" s="117" t="s">
        <v>68</v>
      </c>
      <c r="AK13" s="6">
        <f>O13</f>
        <v>0.1</v>
      </c>
      <c r="AL13" s="83"/>
      <c r="AM13" s="84">
        <f>IF(AL13/AK13&gt;100%,100%,AL13/AK13)</f>
        <v>0</v>
      </c>
      <c r="AN13" s="45"/>
      <c r="AO13" s="45"/>
      <c r="AP13" s="6">
        <f>P13</f>
        <v>0.1</v>
      </c>
      <c r="AQ13" s="85">
        <f>AG13</f>
        <v>0.20100000000000001</v>
      </c>
      <c r="AR13" s="80">
        <f>IF(AQ13/AP13&gt;100%,100%,AQ13/AP13)</f>
        <v>1</v>
      </c>
      <c r="AS13" s="81" t="s">
        <v>303</v>
      </c>
    </row>
    <row r="14" spans="1:45" s="8" customFormat="1" ht="105" x14ac:dyDescent="0.25">
      <c r="A14" s="46">
        <v>4</v>
      </c>
      <c r="B14" s="46" t="s">
        <v>52</v>
      </c>
      <c r="C14" s="46" t="s">
        <v>53</v>
      </c>
      <c r="D14" s="46" t="s">
        <v>70</v>
      </c>
      <c r="E14" s="3">
        <f t="shared" si="0"/>
        <v>4.4444444444444481E-2</v>
      </c>
      <c r="F14" s="46" t="s">
        <v>55</v>
      </c>
      <c r="G14" s="46" t="s">
        <v>71</v>
      </c>
      <c r="H14" s="46" t="s">
        <v>72</v>
      </c>
      <c r="I14" s="46" t="s">
        <v>73</v>
      </c>
      <c r="J14" s="46" t="s">
        <v>74</v>
      </c>
      <c r="K14" s="46" t="s">
        <v>59</v>
      </c>
      <c r="L14" s="5">
        <v>0</v>
      </c>
      <c r="M14" s="5">
        <v>0</v>
      </c>
      <c r="N14" s="5">
        <v>0</v>
      </c>
      <c r="O14" s="5">
        <v>0.15</v>
      </c>
      <c r="P14" s="5">
        <v>0.15</v>
      </c>
      <c r="Q14" s="46" t="s">
        <v>60</v>
      </c>
      <c r="R14" s="46" t="s">
        <v>75</v>
      </c>
      <c r="S14" s="46" t="s">
        <v>76</v>
      </c>
      <c r="T14" s="46" t="s">
        <v>63</v>
      </c>
      <c r="U14" s="46" t="s">
        <v>77</v>
      </c>
      <c r="V14" s="6" t="s">
        <v>65</v>
      </c>
      <c r="W14" s="6" t="s">
        <v>65</v>
      </c>
      <c r="X14" s="6" t="s">
        <v>65</v>
      </c>
      <c r="Y14" s="7" t="s">
        <v>66</v>
      </c>
      <c r="Z14" s="7" t="s">
        <v>65</v>
      </c>
      <c r="AA14" s="6" t="s">
        <v>65</v>
      </c>
      <c r="AB14" s="6" t="s">
        <v>65</v>
      </c>
      <c r="AC14" s="6" t="s">
        <v>65</v>
      </c>
      <c r="AD14" s="86" t="s">
        <v>78</v>
      </c>
      <c r="AE14" s="60" t="s">
        <v>65</v>
      </c>
      <c r="AF14" s="6">
        <f t="shared" ref="AF14:AF36" si="1">N14</f>
        <v>0</v>
      </c>
      <c r="AG14" s="108">
        <v>0</v>
      </c>
      <c r="AH14" s="109">
        <v>1</v>
      </c>
      <c r="AI14" s="117" t="s">
        <v>79</v>
      </c>
      <c r="AJ14" s="117" t="s">
        <v>78</v>
      </c>
      <c r="AK14" s="6">
        <f t="shared" ref="AK14:AK36" si="2">O14</f>
        <v>0.15</v>
      </c>
      <c r="AL14" s="83">
        <v>0</v>
      </c>
      <c r="AM14" s="84">
        <f>IF(AL14/AK14&gt;100%,100%,AL14/AK14)</f>
        <v>0</v>
      </c>
      <c r="AN14" s="45"/>
      <c r="AO14" s="45"/>
      <c r="AP14" s="6">
        <f t="shared" ref="AP14:AP36" si="3">P14</f>
        <v>0.15</v>
      </c>
      <c r="AQ14" s="87">
        <v>0</v>
      </c>
      <c r="AR14" s="80">
        <f t="shared" ref="AR14:AR30" si="4">IF(AQ14/AP14&gt;100%,100%,AQ14/AP14)</f>
        <v>0</v>
      </c>
      <c r="AS14" s="88" t="s">
        <v>80</v>
      </c>
    </row>
    <row r="15" spans="1:45" s="56" customFormat="1" ht="300" x14ac:dyDescent="0.25">
      <c r="A15" s="10">
        <v>4</v>
      </c>
      <c r="B15" s="10" t="s">
        <v>52</v>
      </c>
      <c r="C15" s="10" t="s">
        <v>53</v>
      </c>
      <c r="D15" s="10" t="s">
        <v>81</v>
      </c>
      <c r="E15" s="52">
        <f t="shared" si="0"/>
        <v>4.4444444444444481E-2</v>
      </c>
      <c r="F15" s="10" t="s">
        <v>82</v>
      </c>
      <c r="G15" s="10" t="s">
        <v>83</v>
      </c>
      <c r="H15" s="10" t="s">
        <v>84</v>
      </c>
      <c r="I15" s="10" t="s">
        <v>73</v>
      </c>
      <c r="J15" s="10" t="s">
        <v>58</v>
      </c>
      <c r="K15" s="10" t="s">
        <v>59</v>
      </c>
      <c r="L15" s="53">
        <v>0.05</v>
      </c>
      <c r="M15" s="53">
        <v>0.4</v>
      </c>
      <c r="N15" s="53">
        <v>0.8</v>
      </c>
      <c r="O15" s="53">
        <v>1</v>
      </c>
      <c r="P15" s="53">
        <v>1</v>
      </c>
      <c r="Q15" s="10" t="s">
        <v>60</v>
      </c>
      <c r="R15" s="10" t="s">
        <v>85</v>
      </c>
      <c r="S15" s="10" t="s">
        <v>86</v>
      </c>
      <c r="T15" s="10" t="s">
        <v>63</v>
      </c>
      <c r="U15" s="10" t="s">
        <v>87</v>
      </c>
      <c r="V15" s="54">
        <f t="shared" ref="V15:V30" si="5">L15</f>
        <v>0.05</v>
      </c>
      <c r="W15" s="89">
        <v>0.05</v>
      </c>
      <c r="X15" s="89">
        <v>1</v>
      </c>
      <c r="Y15" s="90" t="s">
        <v>88</v>
      </c>
      <c r="Z15" s="90" t="s">
        <v>85</v>
      </c>
      <c r="AA15" s="54">
        <f t="shared" ref="AA15:AA36" si="6">M15</f>
        <v>0.4</v>
      </c>
      <c r="AB15" s="91">
        <v>0.11650000000000001</v>
      </c>
      <c r="AC15" s="92">
        <f t="shared" ref="AC15:AC36" si="7">IF(AB15/AA15&gt;100%,100%,AB15/AA15)</f>
        <v>0.29125000000000001</v>
      </c>
      <c r="AD15" s="93" t="s">
        <v>89</v>
      </c>
      <c r="AE15" s="93" t="s">
        <v>90</v>
      </c>
      <c r="AF15" s="54">
        <f t="shared" si="1"/>
        <v>0.8</v>
      </c>
      <c r="AG15" s="110">
        <f>33/100</f>
        <v>0.33</v>
      </c>
      <c r="AH15" s="111">
        <f>AG15/AF15</f>
        <v>0.41249999999999998</v>
      </c>
      <c r="AI15" s="117" t="s">
        <v>91</v>
      </c>
      <c r="AJ15" s="117" t="s">
        <v>90</v>
      </c>
      <c r="AK15" s="54">
        <f t="shared" si="2"/>
        <v>1</v>
      </c>
      <c r="AL15" s="94"/>
      <c r="AM15" s="95">
        <f t="shared" ref="AM15:AM29" si="8">IF(AL15/AK15&gt;100%,100%,AL15/AK15)</f>
        <v>0</v>
      </c>
      <c r="AN15" s="55"/>
      <c r="AO15" s="55"/>
      <c r="AP15" s="54">
        <f t="shared" si="3"/>
        <v>1</v>
      </c>
      <c r="AQ15" s="91">
        <f>AG15</f>
        <v>0.33</v>
      </c>
      <c r="AR15" s="92">
        <f t="shared" si="4"/>
        <v>0.33</v>
      </c>
      <c r="AS15" s="93" t="s">
        <v>304</v>
      </c>
    </row>
    <row r="16" spans="1:45" s="8" customFormat="1" ht="174.75" customHeight="1" x14ac:dyDescent="0.25">
      <c r="A16" s="46">
        <v>4</v>
      </c>
      <c r="B16" s="46" t="s">
        <v>52</v>
      </c>
      <c r="C16" s="46" t="s">
        <v>92</v>
      </c>
      <c r="D16" s="46" t="s">
        <v>93</v>
      </c>
      <c r="E16" s="3">
        <f t="shared" si="0"/>
        <v>4.4444444444444481E-2</v>
      </c>
      <c r="F16" s="46" t="s">
        <v>55</v>
      </c>
      <c r="G16" s="46" t="s">
        <v>94</v>
      </c>
      <c r="H16" s="46" t="s">
        <v>95</v>
      </c>
      <c r="I16" s="5">
        <v>0.5</v>
      </c>
      <c r="J16" s="46" t="s">
        <v>58</v>
      </c>
      <c r="K16" s="46" t="s">
        <v>59</v>
      </c>
      <c r="L16" s="5">
        <v>0.15</v>
      </c>
      <c r="M16" s="5">
        <v>0.3</v>
      </c>
      <c r="N16" s="9">
        <v>0.45</v>
      </c>
      <c r="O16" s="9">
        <v>0.6</v>
      </c>
      <c r="P16" s="5">
        <v>0.6</v>
      </c>
      <c r="Q16" s="46" t="s">
        <v>96</v>
      </c>
      <c r="R16" s="46" t="s">
        <v>97</v>
      </c>
      <c r="S16" s="46" t="s">
        <v>98</v>
      </c>
      <c r="T16" s="46" t="s">
        <v>63</v>
      </c>
      <c r="U16" s="46" t="s">
        <v>99</v>
      </c>
      <c r="V16" s="6">
        <f t="shared" si="5"/>
        <v>0.15</v>
      </c>
      <c r="W16" s="96">
        <v>0.10979999999999999</v>
      </c>
      <c r="X16" s="97">
        <v>0.73</v>
      </c>
      <c r="Y16" s="98" t="s">
        <v>100</v>
      </c>
      <c r="Z16" s="98" t="s">
        <v>101</v>
      </c>
      <c r="AA16" s="6">
        <f t="shared" si="6"/>
        <v>0.3</v>
      </c>
      <c r="AB16" s="99">
        <v>0.35980000000000001</v>
      </c>
      <c r="AC16" s="80">
        <f t="shared" si="7"/>
        <v>1</v>
      </c>
      <c r="AD16" s="88" t="s">
        <v>102</v>
      </c>
      <c r="AE16" s="88" t="s">
        <v>103</v>
      </c>
      <c r="AF16" s="6">
        <f t="shared" si="1"/>
        <v>0.45</v>
      </c>
      <c r="AG16" s="108">
        <f>14904862981/24435803567</f>
        <v>0.60996000971004205</v>
      </c>
      <c r="AH16" s="109">
        <v>1</v>
      </c>
      <c r="AI16" s="117" t="s">
        <v>104</v>
      </c>
      <c r="AJ16" s="117" t="s">
        <v>103</v>
      </c>
      <c r="AK16" s="6">
        <f t="shared" si="2"/>
        <v>0.6</v>
      </c>
      <c r="AL16" s="83"/>
      <c r="AM16" s="84">
        <f t="shared" si="8"/>
        <v>0</v>
      </c>
      <c r="AN16" s="45"/>
      <c r="AO16" s="45"/>
      <c r="AP16" s="6">
        <f t="shared" si="3"/>
        <v>0.6</v>
      </c>
      <c r="AQ16" s="99">
        <f>AG16</f>
        <v>0.60996000971004205</v>
      </c>
      <c r="AR16" s="80">
        <f t="shared" si="4"/>
        <v>1</v>
      </c>
      <c r="AS16" s="88" t="str">
        <f>AI16</f>
        <v>El Valor de los Giros acumulados realizados por el Fondo de Desarrollo Local de Usme -FDLU a corte del el tercer trimestre de 2021 es = $14.904.862.981
El Valor del Presupuesto comprometido constituido como obligaciones por pagar de la vigencia 2020 es = $24.435.803.567
Por lo tanto, el Porcentaje de giros acumulados de obligaciones por pagar de la vigencia 2020 es de 61,00% a corte de 30 de septiembre de 2021 superando la meta con 135,55%.</v>
      </c>
    </row>
    <row r="17" spans="1:45" s="8" customFormat="1" ht="179.25" customHeight="1" x14ac:dyDescent="0.25">
      <c r="A17" s="46">
        <v>4</v>
      </c>
      <c r="B17" s="46" t="s">
        <v>52</v>
      </c>
      <c r="C17" s="46" t="s">
        <v>92</v>
      </c>
      <c r="D17" s="46" t="s">
        <v>105</v>
      </c>
      <c r="E17" s="3">
        <f t="shared" si="0"/>
        <v>4.4444444444444481E-2</v>
      </c>
      <c r="F17" s="46" t="s">
        <v>55</v>
      </c>
      <c r="G17" s="46" t="s">
        <v>106</v>
      </c>
      <c r="H17" s="46" t="s">
        <v>107</v>
      </c>
      <c r="I17" s="5">
        <v>0.6</v>
      </c>
      <c r="J17" s="46" t="s">
        <v>58</v>
      </c>
      <c r="K17" s="46" t="s">
        <v>59</v>
      </c>
      <c r="L17" s="5">
        <v>0.15</v>
      </c>
      <c r="M17" s="5">
        <v>0.3</v>
      </c>
      <c r="N17" s="9">
        <v>0.45</v>
      </c>
      <c r="O17" s="9">
        <v>0.6</v>
      </c>
      <c r="P17" s="5">
        <v>0.6</v>
      </c>
      <c r="Q17" s="46" t="s">
        <v>96</v>
      </c>
      <c r="R17" s="46" t="s">
        <v>97</v>
      </c>
      <c r="S17" s="46" t="s">
        <v>98</v>
      </c>
      <c r="T17" s="46" t="s">
        <v>63</v>
      </c>
      <c r="U17" s="46" t="s">
        <v>99</v>
      </c>
      <c r="V17" s="6">
        <f t="shared" si="5"/>
        <v>0.15</v>
      </c>
      <c r="W17" s="96">
        <v>0.1842</v>
      </c>
      <c r="X17" s="97">
        <v>1</v>
      </c>
      <c r="Y17" s="98" t="s">
        <v>108</v>
      </c>
      <c r="Z17" s="98" t="s">
        <v>101</v>
      </c>
      <c r="AA17" s="6">
        <f t="shared" si="6"/>
        <v>0.3</v>
      </c>
      <c r="AB17" s="99">
        <v>0.46229999999999999</v>
      </c>
      <c r="AC17" s="80">
        <f t="shared" si="7"/>
        <v>1</v>
      </c>
      <c r="AD17" s="88" t="s">
        <v>109</v>
      </c>
      <c r="AE17" s="88" t="s">
        <v>103</v>
      </c>
      <c r="AF17" s="6">
        <f t="shared" si="1"/>
        <v>0.45</v>
      </c>
      <c r="AG17" s="108">
        <f>17450659067/27095185926</f>
        <v>0.64405016871483045</v>
      </c>
      <c r="AH17" s="109">
        <v>1</v>
      </c>
      <c r="AI17" s="117" t="s">
        <v>110</v>
      </c>
      <c r="AJ17" s="117" t="s">
        <v>103</v>
      </c>
      <c r="AK17" s="6">
        <f t="shared" si="2"/>
        <v>0.6</v>
      </c>
      <c r="AL17" s="83"/>
      <c r="AM17" s="84">
        <f t="shared" si="8"/>
        <v>0</v>
      </c>
      <c r="AN17" s="45"/>
      <c r="AO17" s="45"/>
      <c r="AP17" s="6">
        <f t="shared" si="3"/>
        <v>0.6</v>
      </c>
      <c r="AQ17" s="99">
        <f>AG17</f>
        <v>0.64405016871483045</v>
      </c>
      <c r="AR17" s="80">
        <f t="shared" si="4"/>
        <v>1</v>
      </c>
      <c r="AS17" s="88" t="str">
        <f>AI17</f>
        <v>El Valor de los Giros acumulados realizados por el Fondo de Desarrollo Local de Usme -FDLU a corte del tercer trimestre de 2021 es = $17.450.659.067
El Valor del Presupuesto comprometido constituido como obligaciones por pagar de la vigencia 2019 es = $ 27.095.185.926
Por lo tanto, el Porcentaje de giros acumulados de obligaciones por pagar de la vigencia 2019 y anteriores es del 64,41% a corte de 30 de septiembre de 2021, superando la meta al 143, 12%</v>
      </c>
    </row>
    <row r="18" spans="1:45" s="8" customFormat="1" ht="390" x14ac:dyDescent="0.25">
      <c r="A18" s="46">
        <v>4</v>
      </c>
      <c r="B18" s="46" t="s">
        <v>52</v>
      </c>
      <c r="C18" s="46" t="s">
        <v>92</v>
      </c>
      <c r="D18" s="46" t="s">
        <v>111</v>
      </c>
      <c r="E18" s="3">
        <f t="shared" si="0"/>
        <v>4.4444444444444481E-2</v>
      </c>
      <c r="F18" s="46" t="s">
        <v>82</v>
      </c>
      <c r="G18" s="46" t="s">
        <v>112</v>
      </c>
      <c r="H18" s="46" t="s">
        <v>113</v>
      </c>
      <c r="I18" s="46"/>
      <c r="J18" s="46" t="s">
        <v>58</v>
      </c>
      <c r="K18" s="46" t="s">
        <v>59</v>
      </c>
      <c r="L18" s="5">
        <v>0.1</v>
      </c>
      <c r="M18" s="5">
        <v>0.25</v>
      </c>
      <c r="N18" s="5">
        <v>0.65</v>
      </c>
      <c r="O18" s="5">
        <v>0.95</v>
      </c>
      <c r="P18" s="5">
        <v>0.95</v>
      </c>
      <c r="Q18" s="46" t="s">
        <v>96</v>
      </c>
      <c r="R18" s="46" t="s">
        <v>97</v>
      </c>
      <c r="S18" s="46" t="s">
        <v>98</v>
      </c>
      <c r="T18" s="46" t="s">
        <v>63</v>
      </c>
      <c r="U18" s="46" t="s">
        <v>114</v>
      </c>
      <c r="V18" s="6">
        <f t="shared" si="5"/>
        <v>0.1</v>
      </c>
      <c r="W18" s="97">
        <v>0.24</v>
      </c>
      <c r="X18" s="97">
        <v>1</v>
      </c>
      <c r="Y18" s="98" t="s">
        <v>115</v>
      </c>
      <c r="Z18" s="98" t="s">
        <v>116</v>
      </c>
      <c r="AA18" s="6">
        <f t="shared" si="6"/>
        <v>0.25</v>
      </c>
      <c r="AB18" s="99">
        <v>0.41610000000000003</v>
      </c>
      <c r="AC18" s="80">
        <f t="shared" si="7"/>
        <v>1</v>
      </c>
      <c r="AD18" s="82" t="s">
        <v>117</v>
      </c>
      <c r="AE18" s="82" t="s">
        <v>118</v>
      </c>
      <c r="AF18" s="6">
        <f t="shared" si="1"/>
        <v>0.65</v>
      </c>
      <c r="AG18" s="108">
        <f>34512396845/64151762749</f>
        <v>0.53798049135505599</v>
      </c>
      <c r="AH18" s="109">
        <v>0.82769999999999999</v>
      </c>
      <c r="AI18" s="117" t="s">
        <v>119</v>
      </c>
      <c r="AJ18" s="117" t="s">
        <v>120</v>
      </c>
      <c r="AK18" s="6">
        <f t="shared" si="2"/>
        <v>0.95</v>
      </c>
      <c r="AL18" s="83"/>
      <c r="AM18" s="84">
        <f t="shared" si="8"/>
        <v>0</v>
      </c>
      <c r="AN18" s="45"/>
      <c r="AO18" s="45"/>
      <c r="AP18" s="6">
        <f t="shared" si="3"/>
        <v>0.95</v>
      </c>
      <c r="AQ18" s="99">
        <f>AG18</f>
        <v>0.53798049135505599</v>
      </c>
      <c r="AR18" s="80">
        <f t="shared" si="4"/>
        <v>0.56629525405795367</v>
      </c>
      <c r="AS18" s="82" t="str">
        <f>AI18</f>
        <v>Para el II Trimestre de 2021, la Alcaldía Local de Usme comprometió $34.512.396.845 de los $64.151.762.749 asignados como presupuesto de inversión directa de la vigencia 2021, lo que representa un nivel de ejecución del 53,80% a corte de 30 de septiembre de 2021 y alcanzando un 82,77% de cumplimiento de la meta respecto a lo programado para el tercer trimestre.</v>
      </c>
    </row>
    <row r="19" spans="1:45" s="8" customFormat="1" ht="409.5" x14ac:dyDescent="0.25">
      <c r="A19" s="46">
        <v>4</v>
      </c>
      <c r="B19" s="46" t="s">
        <v>52</v>
      </c>
      <c r="C19" s="46" t="s">
        <v>92</v>
      </c>
      <c r="D19" s="46" t="s">
        <v>121</v>
      </c>
      <c r="E19" s="3">
        <f t="shared" si="0"/>
        <v>4.4444444444444481E-2</v>
      </c>
      <c r="F19" s="46" t="s">
        <v>55</v>
      </c>
      <c r="G19" s="46" t="s">
        <v>122</v>
      </c>
      <c r="H19" s="46" t="s">
        <v>123</v>
      </c>
      <c r="I19" s="46"/>
      <c r="J19" s="46" t="s">
        <v>58</v>
      </c>
      <c r="K19" s="46" t="s">
        <v>59</v>
      </c>
      <c r="L19" s="5">
        <v>0.02</v>
      </c>
      <c r="M19" s="5">
        <v>0.1</v>
      </c>
      <c r="N19" s="5">
        <v>0.2</v>
      </c>
      <c r="O19" s="5">
        <v>0.4</v>
      </c>
      <c r="P19" s="5">
        <v>0.4</v>
      </c>
      <c r="Q19" s="46" t="s">
        <v>96</v>
      </c>
      <c r="R19" s="46" t="s">
        <v>97</v>
      </c>
      <c r="S19" s="46" t="s">
        <v>98</v>
      </c>
      <c r="T19" s="46" t="s">
        <v>63</v>
      </c>
      <c r="U19" s="46" t="s">
        <v>114</v>
      </c>
      <c r="V19" s="6">
        <f t="shared" si="5"/>
        <v>0.02</v>
      </c>
      <c r="W19" s="97">
        <v>0.1</v>
      </c>
      <c r="X19" s="97">
        <v>1</v>
      </c>
      <c r="Y19" s="98" t="s">
        <v>124</v>
      </c>
      <c r="Z19" s="98" t="s">
        <v>125</v>
      </c>
      <c r="AA19" s="6">
        <f t="shared" si="6"/>
        <v>0.1</v>
      </c>
      <c r="AB19" s="100">
        <v>0.219</v>
      </c>
      <c r="AC19" s="80">
        <f t="shared" si="7"/>
        <v>1</v>
      </c>
      <c r="AD19" s="82" t="s">
        <v>126</v>
      </c>
      <c r="AE19" s="82" t="s">
        <v>118</v>
      </c>
      <c r="AF19" s="6">
        <f t="shared" si="1"/>
        <v>0.2</v>
      </c>
      <c r="AG19" s="6">
        <f>27103942095/64151762749</f>
        <v>0.42249723052890698</v>
      </c>
      <c r="AH19" s="109">
        <v>1</v>
      </c>
      <c r="AI19" s="117" t="s">
        <v>127</v>
      </c>
      <c r="AJ19" s="117" t="s">
        <v>120</v>
      </c>
      <c r="AK19" s="6">
        <f t="shared" si="2"/>
        <v>0.4</v>
      </c>
      <c r="AL19" s="83"/>
      <c r="AM19" s="84">
        <f t="shared" si="8"/>
        <v>0</v>
      </c>
      <c r="AN19" s="45"/>
      <c r="AO19" s="45"/>
      <c r="AP19" s="6">
        <f t="shared" si="3"/>
        <v>0.4</v>
      </c>
      <c r="AQ19" s="100">
        <f>AG19</f>
        <v>0.42249723052890698</v>
      </c>
      <c r="AR19" s="80">
        <f t="shared" si="4"/>
        <v>1</v>
      </c>
      <c r="AS19" s="82" t="str">
        <f>AI19</f>
        <v>La Alcaldía Local de Usme a corte de 30 de septiembre logró girar el valor de $27.103.942.095 de los $64.151.762.749 asignados como depuesto disponible de inversión directa de la vigencia, lo que representa un nivel de ejecución acumulado del 42,25%. Por lo tanto, se da cumplimiento del 100% de ejecución de esta meta conforme a lo programado para el tercer trimestre, ya que se alcanzo el 211,25% de cumplimiento real.</v>
      </c>
    </row>
    <row r="20" spans="1:45" s="8" customFormat="1" ht="255" x14ac:dyDescent="0.25">
      <c r="A20" s="46">
        <v>4</v>
      </c>
      <c r="B20" s="46" t="s">
        <v>52</v>
      </c>
      <c r="C20" s="46" t="s">
        <v>92</v>
      </c>
      <c r="D20" s="46" t="s">
        <v>128</v>
      </c>
      <c r="E20" s="3">
        <f t="shared" si="0"/>
        <v>4.4444444444444481E-2</v>
      </c>
      <c r="F20" s="46" t="s">
        <v>82</v>
      </c>
      <c r="G20" s="46" t="s">
        <v>129</v>
      </c>
      <c r="H20" s="46" t="s">
        <v>130</v>
      </c>
      <c r="I20" s="46"/>
      <c r="J20" s="46" t="s">
        <v>74</v>
      </c>
      <c r="K20" s="46" t="s">
        <v>59</v>
      </c>
      <c r="L20" s="5">
        <v>0.95</v>
      </c>
      <c r="M20" s="5">
        <v>0.95</v>
      </c>
      <c r="N20" s="5">
        <v>0.95</v>
      </c>
      <c r="O20" s="5">
        <v>0.95</v>
      </c>
      <c r="P20" s="5">
        <v>0.95</v>
      </c>
      <c r="Q20" s="46" t="s">
        <v>96</v>
      </c>
      <c r="R20" s="46" t="s">
        <v>97</v>
      </c>
      <c r="S20" s="46" t="s">
        <v>131</v>
      </c>
      <c r="T20" s="46" t="s">
        <v>63</v>
      </c>
      <c r="U20" s="10" t="s">
        <v>132</v>
      </c>
      <c r="V20" s="6">
        <f t="shared" si="5"/>
        <v>0.95</v>
      </c>
      <c r="W20" s="96">
        <v>0.97399999999999998</v>
      </c>
      <c r="X20" s="97">
        <v>1</v>
      </c>
      <c r="Y20" s="98" t="s">
        <v>133</v>
      </c>
      <c r="Z20" s="98" t="s">
        <v>134</v>
      </c>
      <c r="AA20" s="6">
        <f t="shared" si="6"/>
        <v>0.95</v>
      </c>
      <c r="AB20" s="99">
        <v>0.95950000000000002</v>
      </c>
      <c r="AC20" s="80">
        <f t="shared" si="7"/>
        <v>1</v>
      </c>
      <c r="AD20" s="88" t="s">
        <v>135</v>
      </c>
      <c r="AE20" s="88" t="s">
        <v>136</v>
      </c>
      <c r="AF20" s="6">
        <f t="shared" si="1"/>
        <v>0.95</v>
      </c>
      <c r="AG20" s="108">
        <f>286/293</f>
        <v>0.97610921501706482</v>
      </c>
      <c r="AH20" s="109">
        <v>1</v>
      </c>
      <c r="AI20" s="117" t="s">
        <v>137</v>
      </c>
      <c r="AJ20" s="117" t="s">
        <v>136</v>
      </c>
      <c r="AK20" s="6">
        <f t="shared" si="2"/>
        <v>0.95</v>
      </c>
      <c r="AL20" s="83"/>
      <c r="AM20" s="84">
        <f t="shared" si="8"/>
        <v>0</v>
      </c>
      <c r="AN20" s="45"/>
      <c r="AO20" s="45"/>
      <c r="AP20" s="6">
        <f t="shared" si="3"/>
        <v>0.95</v>
      </c>
      <c r="AQ20" s="87">
        <f>(97.4%*25%)+(95.95%*25%)+(97.61%*25%)</f>
        <v>0.72740000000000005</v>
      </c>
      <c r="AR20" s="80">
        <f t="shared" si="4"/>
        <v>0.76568421052631586</v>
      </c>
      <c r="AS20" s="88" t="str">
        <f>AI20</f>
        <v xml:space="preserve">En el tercer trimestre se han registrado un total de 286 contratos registrados en SIPSE Local y en SECOP II se han registrado 293, para un porcentaje de cumplimiento del 97,61%, por lo tanto se cumple la meta del trimestre al 100%. </v>
      </c>
    </row>
    <row r="21" spans="1:45" s="8" customFormat="1" ht="147" customHeight="1" x14ac:dyDescent="0.25">
      <c r="A21" s="46">
        <v>4</v>
      </c>
      <c r="B21" s="46" t="s">
        <v>52</v>
      </c>
      <c r="C21" s="46" t="s">
        <v>92</v>
      </c>
      <c r="D21" s="46" t="s">
        <v>138</v>
      </c>
      <c r="E21" s="3">
        <f t="shared" si="0"/>
        <v>4.4444444444444481E-2</v>
      </c>
      <c r="F21" s="46" t="s">
        <v>55</v>
      </c>
      <c r="G21" s="46" t="s">
        <v>139</v>
      </c>
      <c r="H21" s="46" t="s">
        <v>140</v>
      </c>
      <c r="I21" s="46"/>
      <c r="J21" s="46" t="s">
        <v>74</v>
      </c>
      <c r="K21" s="46" t="s">
        <v>59</v>
      </c>
      <c r="L21" s="5">
        <v>1</v>
      </c>
      <c r="M21" s="5">
        <v>1</v>
      </c>
      <c r="N21" s="5">
        <v>1</v>
      </c>
      <c r="O21" s="5">
        <v>1</v>
      </c>
      <c r="P21" s="5">
        <v>1</v>
      </c>
      <c r="Q21" s="46" t="s">
        <v>96</v>
      </c>
      <c r="R21" s="10" t="s">
        <v>97</v>
      </c>
      <c r="S21" s="10" t="s">
        <v>141</v>
      </c>
      <c r="T21" s="10" t="s">
        <v>63</v>
      </c>
      <c r="U21" s="10" t="s">
        <v>142</v>
      </c>
      <c r="V21" s="6">
        <f t="shared" si="5"/>
        <v>1</v>
      </c>
      <c r="W21" s="96">
        <v>0.80300000000000005</v>
      </c>
      <c r="X21" s="96">
        <f>W21/V21</f>
        <v>0.80300000000000005</v>
      </c>
      <c r="Y21" s="98" t="s">
        <v>143</v>
      </c>
      <c r="Z21" s="98" t="s">
        <v>134</v>
      </c>
      <c r="AA21" s="6">
        <f t="shared" si="6"/>
        <v>1</v>
      </c>
      <c r="AB21" s="99">
        <v>0.98750000000000004</v>
      </c>
      <c r="AC21" s="80">
        <f t="shared" si="7"/>
        <v>0.98750000000000004</v>
      </c>
      <c r="AD21" s="82" t="s">
        <v>144</v>
      </c>
      <c r="AE21" s="82" t="s">
        <v>118</v>
      </c>
      <c r="AF21" s="6">
        <f t="shared" si="1"/>
        <v>1</v>
      </c>
      <c r="AG21" s="6">
        <f>285/286</f>
        <v>0.99650349650349646</v>
      </c>
      <c r="AH21" s="109">
        <v>0.99650000000000005</v>
      </c>
      <c r="AI21" s="117" t="s">
        <v>145</v>
      </c>
      <c r="AJ21" s="117" t="s">
        <v>146</v>
      </c>
      <c r="AK21" s="6">
        <f t="shared" si="2"/>
        <v>1</v>
      </c>
      <c r="AL21" s="83"/>
      <c r="AM21" s="84">
        <f t="shared" si="8"/>
        <v>0</v>
      </c>
      <c r="AN21" s="45"/>
      <c r="AO21" s="45"/>
      <c r="AP21" s="6">
        <f t="shared" si="3"/>
        <v>1</v>
      </c>
      <c r="AQ21" s="99">
        <f>(80.3%*25%)+(98.75%*25%)+(99.65%*25%)</f>
        <v>0.69674999999999998</v>
      </c>
      <c r="AR21" s="80">
        <f t="shared" si="4"/>
        <v>0.69674999999999998</v>
      </c>
      <c r="AS21" s="88" t="str">
        <f t="shared" ref="AS21:AS22" si="9">AI21</f>
        <v>A corte del tercer trimestre se encuentran en ejecución un total de 285 contratos de 286 contratos registrados en SIPSE Local, logrando un porcentaje de ejecución del 99,65%. Sin embargo, se acalra que se encuentra suscrito ó legalizado 01, en ejecución 261 y terminado no requiere liquidación 24, para un % de avance del 101,1%, como se observa en el reporte de SIPSE Local.</v>
      </c>
    </row>
    <row r="22" spans="1:45" s="8" customFormat="1" ht="409.5" x14ac:dyDescent="0.25">
      <c r="A22" s="46">
        <v>4</v>
      </c>
      <c r="B22" s="46" t="s">
        <v>52</v>
      </c>
      <c r="C22" s="46" t="s">
        <v>92</v>
      </c>
      <c r="D22" s="46" t="s">
        <v>147</v>
      </c>
      <c r="E22" s="3">
        <f t="shared" si="0"/>
        <v>4.4444444444444481E-2</v>
      </c>
      <c r="F22" s="46" t="s">
        <v>55</v>
      </c>
      <c r="G22" s="46" t="s">
        <v>148</v>
      </c>
      <c r="H22" s="46" t="s">
        <v>149</v>
      </c>
      <c r="I22" s="46"/>
      <c r="J22" s="46" t="s">
        <v>74</v>
      </c>
      <c r="K22" s="46" t="s">
        <v>59</v>
      </c>
      <c r="L22" s="5">
        <v>0.95</v>
      </c>
      <c r="M22" s="5">
        <v>0.95</v>
      </c>
      <c r="N22" s="5">
        <v>0.95</v>
      </c>
      <c r="O22" s="5">
        <v>0.95</v>
      </c>
      <c r="P22" s="5">
        <v>0.95</v>
      </c>
      <c r="Q22" s="46" t="s">
        <v>96</v>
      </c>
      <c r="R22" s="46" t="s">
        <v>150</v>
      </c>
      <c r="S22" s="46" t="s">
        <v>151</v>
      </c>
      <c r="T22" s="46" t="s">
        <v>63</v>
      </c>
      <c r="U22" s="10" t="s">
        <v>142</v>
      </c>
      <c r="V22" s="6">
        <f t="shared" si="5"/>
        <v>0.95</v>
      </c>
      <c r="W22" s="97">
        <v>1</v>
      </c>
      <c r="X22" s="97">
        <v>1</v>
      </c>
      <c r="Y22" s="98" t="s">
        <v>152</v>
      </c>
      <c r="Z22" s="98" t="s">
        <v>134</v>
      </c>
      <c r="AA22" s="6">
        <f t="shared" si="6"/>
        <v>0.95</v>
      </c>
      <c r="AB22" s="99">
        <v>0.99660000000000004</v>
      </c>
      <c r="AC22" s="80">
        <f t="shared" si="7"/>
        <v>1</v>
      </c>
      <c r="AD22" s="88" t="s">
        <v>153</v>
      </c>
      <c r="AE22" s="88" t="s">
        <v>154</v>
      </c>
      <c r="AF22" s="6">
        <f t="shared" si="1"/>
        <v>0.95</v>
      </c>
      <c r="AG22" s="6">
        <f>286/293</f>
        <v>0.97610921501706482</v>
      </c>
      <c r="AH22" s="109">
        <v>1</v>
      </c>
      <c r="AI22" s="117" t="s">
        <v>155</v>
      </c>
      <c r="AJ22" s="117" t="s">
        <v>156</v>
      </c>
      <c r="AK22" s="6">
        <f t="shared" si="2"/>
        <v>0.95</v>
      </c>
      <c r="AL22" s="83"/>
      <c r="AM22" s="84">
        <f t="shared" si="8"/>
        <v>0</v>
      </c>
      <c r="AN22" s="45"/>
      <c r="AO22" s="45"/>
      <c r="AP22" s="6">
        <f t="shared" si="3"/>
        <v>0.95</v>
      </c>
      <c r="AQ22" s="87">
        <f>(100%*25%)+(99.66%*25%)+(97.61%*25%)</f>
        <v>0.74317499999999992</v>
      </c>
      <c r="AR22" s="80">
        <f t="shared" si="4"/>
        <v>0.78228947368421042</v>
      </c>
      <c r="AS22" s="88" t="str">
        <f t="shared" si="9"/>
        <v>El Fondo de Desarrollo Local de Usme - FDLU a corte de 30 de septiembre de la vigencia 2021, realizó en el aplicativo SIPSE LOCAL el registro de 34 proyectos de inversión y 286 contratos con la información requerida. Así mismo, realizó el registro de 34 proyectos en los aplicativos SEGPLAN y BOGDATA y 286 contratos registrados en el Sistema Electrónico para la Contratación Pública – SECOP.
Por lo tanto, se cuenta con los siguientes datos a corte 30 de septiembre 2021: un total 293 contratos así: Contratos por estado: 01 adjudicado, 282 celebrado 282. Contratos por tipo: 07 de Funcionamiento, 286 de Inversión. Logrando un porcentaje del 97,61% para un cumplimiento del 100% en el tercer trimestre.</v>
      </c>
    </row>
    <row r="23" spans="1:45" s="8" customFormat="1" ht="375" x14ac:dyDescent="0.25">
      <c r="A23" s="46">
        <v>4</v>
      </c>
      <c r="B23" s="46" t="s">
        <v>52</v>
      </c>
      <c r="C23" s="46" t="s">
        <v>157</v>
      </c>
      <c r="D23" s="46" t="s">
        <v>158</v>
      </c>
      <c r="E23" s="3">
        <f t="shared" si="0"/>
        <v>4.4444444444444481E-2</v>
      </c>
      <c r="F23" s="46" t="s">
        <v>82</v>
      </c>
      <c r="G23" s="46" t="s">
        <v>159</v>
      </c>
      <c r="H23" s="46" t="s">
        <v>160</v>
      </c>
      <c r="I23" s="46"/>
      <c r="J23" s="46" t="s">
        <v>161</v>
      </c>
      <c r="K23" s="46" t="s">
        <v>162</v>
      </c>
      <c r="L23" s="11">
        <v>1920</v>
      </c>
      <c r="M23" s="11">
        <v>1920</v>
      </c>
      <c r="N23" s="11">
        <v>1920</v>
      </c>
      <c r="O23" s="11">
        <v>1920</v>
      </c>
      <c r="P23" s="12">
        <f>SUM(L23:O23)</f>
        <v>7680</v>
      </c>
      <c r="Q23" s="46" t="s">
        <v>96</v>
      </c>
      <c r="R23" s="46" t="s">
        <v>163</v>
      </c>
      <c r="S23" s="46" t="s">
        <v>164</v>
      </c>
      <c r="T23" s="46" t="s">
        <v>63</v>
      </c>
      <c r="U23" s="46" t="s">
        <v>164</v>
      </c>
      <c r="V23" s="13">
        <f t="shared" si="5"/>
        <v>1920</v>
      </c>
      <c r="W23" s="101">
        <v>3</v>
      </c>
      <c r="X23" s="96">
        <f>W23/V23</f>
        <v>1.5625000000000001E-3</v>
      </c>
      <c r="Y23" s="98" t="s">
        <v>165</v>
      </c>
      <c r="Z23" s="98" t="s">
        <v>166</v>
      </c>
      <c r="AA23" s="13">
        <f t="shared" si="6"/>
        <v>1920</v>
      </c>
      <c r="AB23" s="13">
        <v>1331</v>
      </c>
      <c r="AC23" s="80">
        <f t="shared" si="7"/>
        <v>0.69322916666666667</v>
      </c>
      <c r="AD23" s="82" t="s">
        <v>167</v>
      </c>
      <c r="AE23" s="102" t="s">
        <v>168</v>
      </c>
      <c r="AF23" s="112">
        <f t="shared" si="1"/>
        <v>1920</v>
      </c>
      <c r="AG23" s="112">
        <v>6261</v>
      </c>
      <c r="AH23" s="109">
        <v>1</v>
      </c>
      <c r="AI23" s="117" t="s">
        <v>169</v>
      </c>
      <c r="AJ23" s="117" t="s">
        <v>170</v>
      </c>
      <c r="AK23" s="13">
        <f t="shared" si="2"/>
        <v>1920</v>
      </c>
      <c r="AL23" s="103"/>
      <c r="AM23" s="84">
        <f t="shared" si="8"/>
        <v>0</v>
      </c>
      <c r="AN23" s="45"/>
      <c r="AO23" s="45"/>
      <c r="AP23" s="13">
        <f t="shared" si="3"/>
        <v>7680</v>
      </c>
      <c r="AQ23" s="118">
        <f t="shared" ref="AQ23:AQ30" si="10">SUM(W23+AB23+AG23)</f>
        <v>7595</v>
      </c>
      <c r="AR23" s="80">
        <f t="shared" si="4"/>
        <v>0.98893229166666663</v>
      </c>
      <c r="AS23" s="88" t="s">
        <v>305</v>
      </c>
    </row>
    <row r="24" spans="1:45" s="8" customFormat="1" ht="409.5" x14ac:dyDescent="0.25">
      <c r="A24" s="46">
        <v>4</v>
      </c>
      <c r="B24" s="46" t="s">
        <v>52</v>
      </c>
      <c r="C24" s="46" t="s">
        <v>157</v>
      </c>
      <c r="D24" s="46" t="s">
        <v>171</v>
      </c>
      <c r="E24" s="3">
        <f t="shared" si="0"/>
        <v>4.4444444444444481E-2</v>
      </c>
      <c r="F24" s="46" t="s">
        <v>55</v>
      </c>
      <c r="G24" s="46" t="s">
        <v>172</v>
      </c>
      <c r="H24" s="46" t="s">
        <v>173</v>
      </c>
      <c r="I24" s="46"/>
      <c r="J24" s="46" t="s">
        <v>161</v>
      </c>
      <c r="K24" s="46" t="s">
        <v>174</v>
      </c>
      <c r="L24" s="11">
        <v>720</v>
      </c>
      <c r="M24" s="11">
        <v>720</v>
      </c>
      <c r="N24" s="11">
        <v>720</v>
      </c>
      <c r="O24" s="11">
        <v>720</v>
      </c>
      <c r="P24" s="12">
        <f>SUM(L24:O24)</f>
        <v>2880</v>
      </c>
      <c r="Q24" s="46" t="s">
        <v>96</v>
      </c>
      <c r="R24" s="46" t="s">
        <v>174</v>
      </c>
      <c r="S24" s="46" t="s">
        <v>164</v>
      </c>
      <c r="T24" s="46" t="s">
        <v>63</v>
      </c>
      <c r="U24" s="46" t="s">
        <v>164</v>
      </c>
      <c r="V24" s="13">
        <f t="shared" si="5"/>
        <v>720</v>
      </c>
      <c r="W24" s="101">
        <v>1</v>
      </c>
      <c r="X24" s="97">
        <v>0</v>
      </c>
      <c r="Y24" s="98" t="s">
        <v>175</v>
      </c>
      <c r="Z24" s="98" t="s">
        <v>176</v>
      </c>
      <c r="AA24" s="13">
        <f t="shared" si="6"/>
        <v>720</v>
      </c>
      <c r="AB24" s="104">
        <v>279</v>
      </c>
      <c r="AC24" s="80">
        <f t="shared" si="7"/>
        <v>0.38750000000000001</v>
      </c>
      <c r="AD24" s="88" t="s">
        <v>177</v>
      </c>
      <c r="AE24" s="88" t="s">
        <v>170</v>
      </c>
      <c r="AF24" s="112">
        <f t="shared" si="1"/>
        <v>720</v>
      </c>
      <c r="AG24" s="112">
        <v>3042</v>
      </c>
      <c r="AH24" s="109">
        <v>1</v>
      </c>
      <c r="AI24" s="117" t="s">
        <v>178</v>
      </c>
      <c r="AJ24" s="117" t="s">
        <v>170</v>
      </c>
      <c r="AK24" s="13">
        <f t="shared" si="2"/>
        <v>720</v>
      </c>
      <c r="AL24" s="103"/>
      <c r="AM24" s="84">
        <f t="shared" si="8"/>
        <v>0</v>
      </c>
      <c r="AN24" s="45"/>
      <c r="AO24" s="45"/>
      <c r="AP24" s="13">
        <f t="shared" si="3"/>
        <v>2880</v>
      </c>
      <c r="AQ24" s="104">
        <f t="shared" si="10"/>
        <v>3322</v>
      </c>
      <c r="AR24" s="80">
        <f t="shared" si="4"/>
        <v>1</v>
      </c>
      <c r="AS24" s="88" t="s">
        <v>306</v>
      </c>
    </row>
    <row r="25" spans="1:45" s="8" customFormat="1" ht="282" customHeight="1" x14ac:dyDescent="0.25">
      <c r="A25" s="46">
        <v>4</v>
      </c>
      <c r="B25" s="46" t="s">
        <v>52</v>
      </c>
      <c r="C25" s="46" t="s">
        <v>157</v>
      </c>
      <c r="D25" s="46" t="s">
        <v>179</v>
      </c>
      <c r="E25" s="3">
        <f t="shared" si="0"/>
        <v>4.4444444444444481E-2</v>
      </c>
      <c r="F25" s="46" t="s">
        <v>55</v>
      </c>
      <c r="G25" s="46" t="s">
        <v>180</v>
      </c>
      <c r="H25" s="46" t="s">
        <v>181</v>
      </c>
      <c r="I25" s="46"/>
      <c r="J25" s="46" t="s">
        <v>161</v>
      </c>
      <c r="K25" s="46" t="s">
        <v>182</v>
      </c>
      <c r="L25" s="14">
        <v>27</v>
      </c>
      <c r="M25" s="14">
        <v>40</v>
      </c>
      <c r="N25" s="14">
        <v>42</v>
      </c>
      <c r="O25" s="14">
        <v>27</v>
      </c>
      <c r="P25" s="12">
        <f t="shared" ref="P25:P30" si="11">SUM(L25:O25)</f>
        <v>136</v>
      </c>
      <c r="Q25" s="46" t="s">
        <v>96</v>
      </c>
      <c r="R25" s="46" t="s">
        <v>183</v>
      </c>
      <c r="S25" s="46" t="s">
        <v>184</v>
      </c>
      <c r="T25" s="46" t="s">
        <v>63</v>
      </c>
      <c r="U25" s="46" t="s">
        <v>184</v>
      </c>
      <c r="V25" s="13">
        <f t="shared" si="5"/>
        <v>27</v>
      </c>
      <c r="W25" s="101">
        <v>3</v>
      </c>
      <c r="X25" s="97">
        <f>W25/V25</f>
        <v>0.1111111111111111</v>
      </c>
      <c r="Y25" s="98" t="s">
        <v>185</v>
      </c>
      <c r="Z25" s="98" t="s">
        <v>186</v>
      </c>
      <c r="AA25" s="13">
        <f t="shared" si="6"/>
        <v>40</v>
      </c>
      <c r="AB25" s="104">
        <v>64</v>
      </c>
      <c r="AC25" s="80">
        <f t="shared" si="7"/>
        <v>1</v>
      </c>
      <c r="AD25" s="82" t="s">
        <v>187</v>
      </c>
      <c r="AE25" s="82" t="s">
        <v>188</v>
      </c>
      <c r="AF25" s="112">
        <f t="shared" si="1"/>
        <v>42</v>
      </c>
      <c r="AG25" s="112">
        <v>51</v>
      </c>
      <c r="AH25" s="109">
        <v>1</v>
      </c>
      <c r="AI25" s="117" t="s">
        <v>189</v>
      </c>
      <c r="AJ25" s="117" t="s">
        <v>190</v>
      </c>
      <c r="AK25" s="13">
        <f t="shared" si="2"/>
        <v>27</v>
      </c>
      <c r="AL25" s="103"/>
      <c r="AM25" s="84">
        <f t="shared" si="8"/>
        <v>0</v>
      </c>
      <c r="AN25" s="45"/>
      <c r="AO25" s="45"/>
      <c r="AP25" s="13">
        <f t="shared" si="3"/>
        <v>136</v>
      </c>
      <c r="AQ25" s="104">
        <f t="shared" si="10"/>
        <v>118</v>
      </c>
      <c r="AR25" s="80">
        <f t="shared" si="4"/>
        <v>0.86764705882352944</v>
      </c>
      <c r="AS25" s="82" t="s">
        <v>307</v>
      </c>
    </row>
    <row r="26" spans="1:45" s="8" customFormat="1" ht="240" x14ac:dyDescent="0.25">
      <c r="A26" s="46">
        <v>4</v>
      </c>
      <c r="B26" s="46" t="s">
        <v>52</v>
      </c>
      <c r="C26" s="46" t="s">
        <v>157</v>
      </c>
      <c r="D26" s="46" t="s">
        <v>191</v>
      </c>
      <c r="E26" s="3">
        <f t="shared" si="0"/>
        <v>4.4444444444444481E-2</v>
      </c>
      <c r="F26" s="46" t="s">
        <v>82</v>
      </c>
      <c r="G26" s="46" t="s">
        <v>192</v>
      </c>
      <c r="H26" s="46" t="s">
        <v>193</v>
      </c>
      <c r="I26" s="46"/>
      <c r="J26" s="46" t="s">
        <v>161</v>
      </c>
      <c r="K26" s="46" t="s">
        <v>183</v>
      </c>
      <c r="L26" s="14">
        <v>57</v>
      </c>
      <c r="M26" s="14">
        <v>88</v>
      </c>
      <c r="N26" s="14">
        <v>89</v>
      </c>
      <c r="O26" s="14">
        <v>57</v>
      </c>
      <c r="P26" s="12">
        <f t="shared" si="11"/>
        <v>291</v>
      </c>
      <c r="Q26" s="46" t="s">
        <v>96</v>
      </c>
      <c r="R26" s="46" t="s">
        <v>183</v>
      </c>
      <c r="S26" s="46" t="s">
        <v>184</v>
      </c>
      <c r="T26" s="46" t="s">
        <v>63</v>
      </c>
      <c r="U26" s="46" t="s">
        <v>184</v>
      </c>
      <c r="V26" s="13">
        <f t="shared" si="5"/>
        <v>57</v>
      </c>
      <c r="W26" s="101">
        <v>4</v>
      </c>
      <c r="X26" s="97">
        <f>W26/V26</f>
        <v>7.0175438596491224E-2</v>
      </c>
      <c r="Y26" s="98" t="s">
        <v>194</v>
      </c>
      <c r="Z26" s="98" t="s">
        <v>184</v>
      </c>
      <c r="AA26" s="13">
        <f t="shared" si="6"/>
        <v>88</v>
      </c>
      <c r="AB26" s="104">
        <v>172</v>
      </c>
      <c r="AC26" s="80">
        <f t="shared" si="7"/>
        <v>1</v>
      </c>
      <c r="AD26" s="88" t="s">
        <v>195</v>
      </c>
      <c r="AE26" s="88" t="s">
        <v>196</v>
      </c>
      <c r="AF26" s="112">
        <f t="shared" si="1"/>
        <v>89</v>
      </c>
      <c r="AG26" s="112">
        <v>97</v>
      </c>
      <c r="AH26" s="109">
        <v>1</v>
      </c>
      <c r="AI26" s="117" t="s">
        <v>197</v>
      </c>
      <c r="AJ26" s="117" t="s">
        <v>196</v>
      </c>
      <c r="AK26" s="13">
        <f t="shared" si="2"/>
        <v>57</v>
      </c>
      <c r="AL26" s="103"/>
      <c r="AM26" s="84">
        <f t="shared" si="8"/>
        <v>0</v>
      </c>
      <c r="AN26" s="45"/>
      <c r="AO26" s="45"/>
      <c r="AP26" s="13">
        <f t="shared" si="3"/>
        <v>291</v>
      </c>
      <c r="AQ26" s="104">
        <f t="shared" si="10"/>
        <v>273</v>
      </c>
      <c r="AR26" s="80">
        <f t="shared" si="4"/>
        <v>0.93814432989690721</v>
      </c>
      <c r="AS26" s="88" t="s">
        <v>308</v>
      </c>
    </row>
    <row r="27" spans="1:45" s="8" customFormat="1" ht="210" x14ac:dyDescent="0.25">
      <c r="A27" s="46">
        <v>4</v>
      </c>
      <c r="B27" s="46" t="s">
        <v>52</v>
      </c>
      <c r="C27" s="46" t="s">
        <v>157</v>
      </c>
      <c r="D27" s="46" t="s">
        <v>198</v>
      </c>
      <c r="E27" s="3">
        <f t="shared" si="0"/>
        <v>4.4444444444444481E-2</v>
      </c>
      <c r="F27" s="46" t="s">
        <v>82</v>
      </c>
      <c r="G27" s="46" t="s">
        <v>199</v>
      </c>
      <c r="H27" s="46" t="s">
        <v>200</v>
      </c>
      <c r="I27" s="46"/>
      <c r="J27" s="46" t="s">
        <v>161</v>
      </c>
      <c r="K27" s="46" t="s">
        <v>201</v>
      </c>
      <c r="L27" s="14">
        <v>40</v>
      </c>
      <c r="M27" s="14">
        <v>24</v>
      </c>
      <c r="N27" s="14">
        <v>24</v>
      </c>
      <c r="O27" s="14">
        <v>24</v>
      </c>
      <c r="P27" s="12">
        <f t="shared" si="11"/>
        <v>112</v>
      </c>
      <c r="Q27" s="46" t="s">
        <v>96</v>
      </c>
      <c r="R27" s="46" t="s">
        <v>202</v>
      </c>
      <c r="S27" s="46" t="s">
        <v>203</v>
      </c>
      <c r="T27" s="46" t="s">
        <v>63</v>
      </c>
      <c r="U27" s="46" t="s">
        <v>202</v>
      </c>
      <c r="V27" s="13">
        <f t="shared" si="5"/>
        <v>40</v>
      </c>
      <c r="W27" s="101">
        <v>47</v>
      </c>
      <c r="X27" s="97">
        <v>1</v>
      </c>
      <c r="Y27" s="98" t="s">
        <v>204</v>
      </c>
      <c r="Z27" s="98" t="s">
        <v>205</v>
      </c>
      <c r="AA27" s="13">
        <f t="shared" si="6"/>
        <v>24</v>
      </c>
      <c r="AB27" s="104">
        <v>27</v>
      </c>
      <c r="AC27" s="80">
        <f t="shared" si="7"/>
        <v>1</v>
      </c>
      <c r="AD27" s="88" t="s">
        <v>206</v>
      </c>
      <c r="AE27" s="88" t="s">
        <v>207</v>
      </c>
      <c r="AF27" s="112">
        <f t="shared" si="1"/>
        <v>24</v>
      </c>
      <c r="AG27" s="112">
        <v>88</v>
      </c>
      <c r="AH27" s="109">
        <v>1</v>
      </c>
      <c r="AI27" s="117" t="s">
        <v>208</v>
      </c>
      <c r="AJ27" s="117" t="s">
        <v>209</v>
      </c>
      <c r="AK27" s="13">
        <f t="shared" si="2"/>
        <v>24</v>
      </c>
      <c r="AL27" s="103"/>
      <c r="AM27" s="84">
        <f t="shared" si="8"/>
        <v>0</v>
      </c>
      <c r="AN27" s="45"/>
      <c r="AO27" s="45"/>
      <c r="AP27" s="13">
        <f t="shared" si="3"/>
        <v>112</v>
      </c>
      <c r="AQ27" s="101">
        <f t="shared" si="10"/>
        <v>162</v>
      </c>
      <c r="AR27" s="80">
        <f t="shared" si="4"/>
        <v>1</v>
      </c>
      <c r="AS27" s="88" t="s">
        <v>210</v>
      </c>
    </row>
    <row r="28" spans="1:45" s="8" customFormat="1" ht="240" x14ac:dyDescent="0.25">
      <c r="A28" s="46">
        <v>4</v>
      </c>
      <c r="B28" s="46" t="s">
        <v>52</v>
      </c>
      <c r="C28" s="46" t="s">
        <v>157</v>
      </c>
      <c r="D28" s="46" t="s">
        <v>211</v>
      </c>
      <c r="E28" s="3">
        <f t="shared" si="0"/>
        <v>4.4444444444444481E-2</v>
      </c>
      <c r="F28" s="46" t="s">
        <v>82</v>
      </c>
      <c r="G28" s="46" t="s">
        <v>212</v>
      </c>
      <c r="H28" s="46" t="s">
        <v>213</v>
      </c>
      <c r="I28" s="46"/>
      <c r="J28" s="46" t="s">
        <v>161</v>
      </c>
      <c r="K28" s="46" t="s">
        <v>201</v>
      </c>
      <c r="L28" s="14">
        <v>26</v>
      </c>
      <c r="M28" s="14">
        <v>36</v>
      </c>
      <c r="N28" s="14">
        <v>36</v>
      </c>
      <c r="O28" s="14">
        <v>32</v>
      </c>
      <c r="P28" s="12">
        <f t="shared" si="11"/>
        <v>130</v>
      </c>
      <c r="Q28" s="46" t="s">
        <v>96</v>
      </c>
      <c r="R28" s="46" t="s">
        <v>202</v>
      </c>
      <c r="S28" s="46" t="s">
        <v>203</v>
      </c>
      <c r="T28" s="46" t="s">
        <v>63</v>
      </c>
      <c r="U28" s="46" t="s">
        <v>202</v>
      </c>
      <c r="V28" s="13">
        <f t="shared" si="5"/>
        <v>26</v>
      </c>
      <c r="W28" s="101">
        <v>33</v>
      </c>
      <c r="X28" s="97">
        <v>1</v>
      </c>
      <c r="Y28" s="98" t="s">
        <v>214</v>
      </c>
      <c r="Z28" s="98" t="s">
        <v>205</v>
      </c>
      <c r="AA28" s="13">
        <f t="shared" si="6"/>
        <v>36</v>
      </c>
      <c r="AB28" s="104">
        <v>42</v>
      </c>
      <c r="AC28" s="80">
        <f t="shared" si="7"/>
        <v>1</v>
      </c>
      <c r="AD28" s="88" t="s">
        <v>215</v>
      </c>
      <c r="AE28" s="88" t="s">
        <v>207</v>
      </c>
      <c r="AF28" s="112">
        <f t="shared" si="1"/>
        <v>36</v>
      </c>
      <c r="AG28" s="112">
        <v>68</v>
      </c>
      <c r="AH28" s="109">
        <v>1</v>
      </c>
      <c r="AI28" s="117" t="s">
        <v>216</v>
      </c>
      <c r="AJ28" s="117" t="s">
        <v>217</v>
      </c>
      <c r="AK28" s="13">
        <f t="shared" si="2"/>
        <v>32</v>
      </c>
      <c r="AL28" s="103"/>
      <c r="AM28" s="84">
        <f t="shared" si="8"/>
        <v>0</v>
      </c>
      <c r="AN28" s="45"/>
      <c r="AO28" s="45"/>
      <c r="AP28" s="13">
        <f t="shared" si="3"/>
        <v>130</v>
      </c>
      <c r="AQ28" s="101">
        <f t="shared" si="10"/>
        <v>143</v>
      </c>
      <c r="AR28" s="80">
        <f t="shared" si="4"/>
        <v>1</v>
      </c>
      <c r="AS28" s="88" t="s">
        <v>309</v>
      </c>
    </row>
    <row r="29" spans="1:45" s="8" customFormat="1" ht="255" x14ac:dyDescent="0.25">
      <c r="A29" s="46">
        <v>4</v>
      </c>
      <c r="B29" s="46" t="s">
        <v>52</v>
      </c>
      <c r="C29" s="46" t="s">
        <v>157</v>
      </c>
      <c r="D29" s="46" t="s">
        <v>218</v>
      </c>
      <c r="E29" s="3">
        <f t="shared" si="0"/>
        <v>4.4444444444444481E-2</v>
      </c>
      <c r="F29" s="46" t="s">
        <v>82</v>
      </c>
      <c r="G29" s="46" t="s">
        <v>219</v>
      </c>
      <c r="H29" s="46" t="s">
        <v>220</v>
      </c>
      <c r="I29" s="46"/>
      <c r="J29" s="46" t="s">
        <v>161</v>
      </c>
      <c r="K29" s="46" t="s">
        <v>201</v>
      </c>
      <c r="L29" s="14">
        <v>8</v>
      </c>
      <c r="M29" s="14">
        <v>9</v>
      </c>
      <c r="N29" s="14">
        <v>9</v>
      </c>
      <c r="O29" s="14">
        <v>8</v>
      </c>
      <c r="P29" s="12">
        <f t="shared" si="11"/>
        <v>34</v>
      </c>
      <c r="Q29" s="46" t="s">
        <v>96</v>
      </c>
      <c r="R29" s="46" t="s">
        <v>202</v>
      </c>
      <c r="S29" s="46" t="s">
        <v>203</v>
      </c>
      <c r="T29" s="46" t="s">
        <v>63</v>
      </c>
      <c r="U29" s="46" t="s">
        <v>202</v>
      </c>
      <c r="V29" s="13">
        <f t="shared" si="5"/>
        <v>8</v>
      </c>
      <c r="W29" s="101">
        <v>8</v>
      </c>
      <c r="X29" s="97">
        <v>1</v>
      </c>
      <c r="Y29" s="98" t="s">
        <v>221</v>
      </c>
      <c r="Z29" s="98" t="s">
        <v>222</v>
      </c>
      <c r="AA29" s="13">
        <f t="shared" si="6"/>
        <v>9</v>
      </c>
      <c r="AB29" s="104">
        <v>9</v>
      </c>
      <c r="AC29" s="80">
        <f t="shared" si="7"/>
        <v>1</v>
      </c>
      <c r="AD29" s="88" t="s">
        <v>223</v>
      </c>
      <c r="AE29" s="88" t="s">
        <v>222</v>
      </c>
      <c r="AF29" s="112">
        <f t="shared" si="1"/>
        <v>9</v>
      </c>
      <c r="AG29" s="112">
        <v>9</v>
      </c>
      <c r="AH29" s="109">
        <v>1</v>
      </c>
      <c r="AI29" s="117" t="s">
        <v>224</v>
      </c>
      <c r="AJ29" s="117" t="s">
        <v>222</v>
      </c>
      <c r="AK29" s="13">
        <f t="shared" si="2"/>
        <v>8</v>
      </c>
      <c r="AL29" s="103"/>
      <c r="AM29" s="84">
        <f t="shared" si="8"/>
        <v>0</v>
      </c>
      <c r="AN29" s="45"/>
      <c r="AO29" s="45"/>
      <c r="AP29" s="13">
        <f t="shared" si="3"/>
        <v>34</v>
      </c>
      <c r="AQ29" s="101">
        <f t="shared" si="10"/>
        <v>26</v>
      </c>
      <c r="AR29" s="80">
        <f t="shared" si="4"/>
        <v>0.76470588235294112</v>
      </c>
      <c r="AS29" s="88" t="s">
        <v>310</v>
      </c>
    </row>
    <row r="30" spans="1:45" s="8" customFormat="1" ht="270" x14ac:dyDescent="0.25">
      <c r="A30" s="46">
        <v>4</v>
      </c>
      <c r="B30" s="46" t="s">
        <v>52</v>
      </c>
      <c r="C30" s="46" t="s">
        <v>157</v>
      </c>
      <c r="D30" s="46" t="s">
        <v>225</v>
      </c>
      <c r="E30" s="3">
        <f t="shared" si="0"/>
        <v>4.4444444444444481E-2</v>
      </c>
      <c r="F30" s="46" t="s">
        <v>82</v>
      </c>
      <c r="G30" s="46" t="s">
        <v>226</v>
      </c>
      <c r="H30" s="46" t="s">
        <v>227</v>
      </c>
      <c r="I30" s="46"/>
      <c r="J30" s="46" t="s">
        <v>161</v>
      </c>
      <c r="K30" s="46" t="s">
        <v>201</v>
      </c>
      <c r="L30" s="14">
        <v>5</v>
      </c>
      <c r="M30" s="14">
        <v>6</v>
      </c>
      <c r="N30" s="14">
        <v>6</v>
      </c>
      <c r="O30" s="14">
        <v>5</v>
      </c>
      <c r="P30" s="12">
        <f t="shared" si="11"/>
        <v>22</v>
      </c>
      <c r="Q30" s="46" t="s">
        <v>96</v>
      </c>
      <c r="R30" s="46" t="s">
        <v>202</v>
      </c>
      <c r="S30" s="46" t="s">
        <v>203</v>
      </c>
      <c r="T30" s="46" t="s">
        <v>63</v>
      </c>
      <c r="U30" s="46" t="s">
        <v>202</v>
      </c>
      <c r="V30" s="13">
        <f t="shared" si="5"/>
        <v>5</v>
      </c>
      <c r="W30" s="101">
        <v>5</v>
      </c>
      <c r="X30" s="97">
        <v>1</v>
      </c>
      <c r="Y30" s="98" t="s">
        <v>228</v>
      </c>
      <c r="Z30" s="98" t="s">
        <v>222</v>
      </c>
      <c r="AA30" s="13">
        <f t="shared" si="6"/>
        <v>6</v>
      </c>
      <c r="AB30" s="104">
        <v>8</v>
      </c>
      <c r="AC30" s="80">
        <f t="shared" si="7"/>
        <v>1</v>
      </c>
      <c r="AD30" s="88" t="s">
        <v>229</v>
      </c>
      <c r="AE30" s="88" t="s">
        <v>222</v>
      </c>
      <c r="AF30" s="112">
        <f t="shared" si="1"/>
        <v>6</v>
      </c>
      <c r="AG30" s="112">
        <v>9</v>
      </c>
      <c r="AH30" s="109">
        <v>1</v>
      </c>
      <c r="AI30" s="117" t="s">
        <v>230</v>
      </c>
      <c r="AJ30" s="117" t="s">
        <v>222</v>
      </c>
      <c r="AK30" s="13">
        <f t="shared" si="2"/>
        <v>5</v>
      </c>
      <c r="AL30" s="103"/>
      <c r="AM30" s="84">
        <f>IF(AL30/AK30&gt;100%,100%,AL30/AK30)</f>
        <v>0</v>
      </c>
      <c r="AN30" s="45"/>
      <c r="AO30" s="45"/>
      <c r="AP30" s="13">
        <f t="shared" si="3"/>
        <v>22</v>
      </c>
      <c r="AQ30" s="101">
        <f t="shared" si="10"/>
        <v>22</v>
      </c>
      <c r="AR30" s="80">
        <f t="shared" si="4"/>
        <v>1</v>
      </c>
      <c r="AS30" s="88" t="s">
        <v>311</v>
      </c>
    </row>
    <row r="31" spans="1:45" s="18" customFormat="1" ht="15.75" x14ac:dyDescent="0.25">
      <c r="A31" s="15"/>
      <c r="B31" s="15"/>
      <c r="C31" s="15"/>
      <c r="D31" s="16" t="s">
        <v>231</v>
      </c>
      <c r="E31" s="17">
        <f>SUM(E13:E30)</f>
        <v>0.80000000000000093</v>
      </c>
      <c r="F31" s="15"/>
      <c r="G31" s="15"/>
      <c r="H31" s="15"/>
      <c r="I31" s="15"/>
      <c r="J31" s="15"/>
      <c r="K31" s="15"/>
      <c r="L31" s="17"/>
      <c r="M31" s="17"/>
      <c r="N31" s="17"/>
      <c r="O31" s="17"/>
      <c r="P31" s="17"/>
      <c r="Q31" s="15"/>
      <c r="R31" s="15"/>
      <c r="S31" s="15"/>
      <c r="T31" s="15"/>
      <c r="U31" s="15"/>
      <c r="V31" s="61"/>
      <c r="W31" s="61"/>
      <c r="X31" s="61">
        <f>AVERAGE(X13:X30)*80%</f>
        <v>0.58579245248538026</v>
      </c>
      <c r="Y31" s="62"/>
      <c r="Z31" s="62"/>
      <c r="AA31" s="61"/>
      <c r="AB31" s="61"/>
      <c r="AC31" s="63">
        <f>AVERAGE(AC13:AC30)*80%</f>
        <v>0.7227990196078431</v>
      </c>
      <c r="AD31" s="64"/>
      <c r="AE31" s="64"/>
      <c r="AF31" s="61"/>
      <c r="AG31" s="65"/>
      <c r="AH31" s="61">
        <f>AVERAGE(AH13:AH30)*80%</f>
        <v>0.76607555555555562</v>
      </c>
      <c r="AI31" s="66"/>
      <c r="AJ31" s="66"/>
      <c r="AK31" s="61"/>
      <c r="AL31" s="65"/>
      <c r="AM31" s="61">
        <f>AVERAGE(AM13:AM30)*80%</f>
        <v>0</v>
      </c>
      <c r="AN31" s="66"/>
      <c r="AO31" s="66"/>
      <c r="AP31" s="61"/>
      <c r="AQ31" s="61"/>
      <c r="AR31" s="63">
        <f>AVERAGE(AR13:AR30)*80%</f>
        <v>0.65335326671148997</v>
      </c>
      <c r="AS31" s="64"/>
    </row>
    <row r="32" spans="1:45" ht="105" x14ac:dyDescent="0.25">
      <c r="A32" s="19">
        <v>7</v>
      </c>
      <c r="B32" s="19" t="s">
        <v>232</v>
      </c>
      <c r="C32" s="19" t="s">
        <v>233</v>
      </c>
      <c r="D32" s="19" t="s">
        <v>234</v>
      </c>
      <c r="E32" s="20">
        <v>0.04</v>
      </c>
      <c r="F32" s="19" t="s">
        <v>235</v>
      </c>
      <c r="G32" s="19" t="s">
        <v>236</v>
      </c>
      <c r="H32" s="19" t="s">
        <v>237</v>
      </c>
      <c r="I32" s="19"/>
      <c r="J32" s="21" t="s">
        <v>238</v>
      </c>
      <c r="K32" s="21" t="s">
        <v>239</v>
      </c>
      <c r="L32" s="22">
        <v>0</v>
      </c>
      <c r="M32" s="22">
        <v>0.8</v>
      </c>
      <c r="N32" s="22">
        <v>0</v>
      </c>
      <c r="O32" s="22">
        <v>0.8</v>
      </c>
      <c r="P32" s="22">
        <v>0.8</v>
      </c>
      <c r="Q32" s="19" t="s">
        <v>96</v>
      </c>
      <c r="R32" s="19" t="s">
        <v>240</v>
      </c>
      <c r="S32" s="19" t="s">
        <v>241</v>
      </c>
      <c r="T32" s="19" t="s">
        <v>242</v>
      </c>
      <c r="U32" s="19" t="s">
        <v>243</v>
      </c>
      <c r="V32" s="23" t="s">
        <v>65</v>
      </c>
      <c r="W32" s="23" t="s">
        <v>65</v>
      </c>
      <c r="X32" s="23" t="s">
        <v>65</v>
      </c>
      <c r="Y32" s="24" t="s">
        <v>66</v>
      </c>
      <c r="Z32" s="24" t="s">
        <v>65</v>
      </c>
      <c r="AA32" s="23">
        <f t="shared" si="6"/>
        <v>0.8</v>
      </c>
      <c r="AB32" s="105">
        <v>1.07</v>
      </c>
      <c r="AC32" s="43">
        <f t="shared" si="7"/>
        <v>1</v>
      </c>
      <c r="AD32" s="57" t="s">
        <v>244</v>
      </c>
      <c r="AE32" s="57" t="s">
        <v>245</v>
      </c>
      <c r="AF32" s="25">
        <f t="shared" si="1"/>
        <v>0</v>
      </c>
      <c r="AG32" s="113">
        <v>0</v>
      </c>
      <c r="AH32" s="114">
        <v>1</v>
      </c>
      <c r="AI32" s="24" t="s">
        <v>246</v>
      </c>
      <c r="AJ32" s="24" t="s">
        <v>247</v>
      </c>
      <c r="AK32" s="25">
        <f t="shared" si="2"/>
        <v>0.8</v>
      </c>
      <c r="AL32" s="19"/>
      <c r="AM32" s="19"/>
      <c r="AN32" s="26"/>
      <c r="AO32" s="26"/>
      <c r="AP32" s="25">
        <f t="shared" si="3"/>
        <v>0.8</v>
      </c>
      <c r="AQ32" s="25">
        <f>(107%*50%)</f>
        <v>0.53500000000000003</v>
      </c>
      <c r="AR32" s="43">
        <f>AQ32/AP32</f>
        <v>0.66874999999999996</v>
      </c>
      <c r="AS32" s="57" t="s">
        <v>248</v>
      </c>
    </row>
    <row r="33" spans="1:45" ht="390" x14ac:dyDescent="0.25">
      <c r="A33" s="19">
        <v>7</v>
      </c>
      <c r="B33" s="19" t="s">
        <v>232</v>
      </c>
      <c r="C33" s="19" t="s">
        <v>233</v>
      </c>
      <c r="D33" s="19" t="s">
        <v>249</v>
      </c>
      <c r="E33" s="20">
        <v>0.04</v>
      </c>
      <c r="F33" s="19" t="s">
        <v>235</v>
      </c>
      <c r="G33" s="19" t="s">
        <v>250</v>
      </c>
      <c r="H33" s="19" t="s">
        <v>251</v>
      </c>
      <c r="I33" s="19"/>
      <c r="J33" s="21" t="s">
        <v>238</v>
      </c>
      <c r="K33" s="21" t="s">
        <v>252</v>
      </c>
      <c r="L33" s="27">
        <v>1</v>
      </c>
      <c r="M33" s="27">
        <v>1</v>
      </c>
      <c r="N33" s="27">
        <v>1</v>
      </c>
      <c r="O33" s="27">
        <v>1</v>
      </c>
      <c r="P33" s="27">
        <v>1</v>
      </c>
      <c r="Q33" s="19" t="s">
        <v>96</v>
      </c>
      <c r="R33" s="19" t="s">
        <v>253</v>
      </c>
      <c r="S33" s="19" t="s">
        <v>254</v>
      </c>
      <c r="T33" s="19" t="s">
        <v>255</v>
      </c>
      <c r="U33" s="19" t="s">
        <v>256</v>
      </c>
      <c r="V33" s="23">
        <f>L33</f>
        <v>1</v>
      </c>
      <c r="W33" s="23">
        <f>M33</f>
        <v>1</v>
      </c>
      <c r="X33" s="23">
        <f>N33</f>
        <v>1</v>
      </c>
      <c r="Y33" s="28" t="s">
        <v>257</v>
      </c>
      <c r="Z33" s="28"/>
      <c r="AA33" s="23">
        <f t="shared" si="6"/>
        <v>1</v>
      </c>
      <c r="AB33" s="23">
        <f>100%</f>
        <v>1</v>
      </c>
      <c r="AC33" s="43">
        <f t="shared" si="7"/>
        <v>1</v>
      </c>
      <c r="AD33" s="57" t="s">
        <v>258</v>
      </c>
      <c r="AE33" s="57" t="s">
        <v>259</v>
      </c>
      <c r="AF33" s="25">
        <f t="shared" si="1"/>
        <v>1</v>
      </c>
      <c r="AG33" s="115">
        <v>1</v>
      </c>
      <c r="AH33" s="116">
        <v>1</v>
      </c>
      <c r="AI33" s="24" t="s">
        <v>260</v>
      </c>
      <c r="AJ33" s="24" t="s">
        <v>259</v>
      </c>
      <c r="AK33" s="25">
        <f t="shared" si="2"/>
        <v>1</v>
      </c>
      <c r="AL33" s="19"/>
      <c r="AM33" s="19"/>
      <c r="AN33" s="26"/>
      <c r="AO33" s="26"/>
      <c r="AP33" s="25">
        <f t="shared" si="3"/>
        <v>1</v>
      </c>
      <c r="AQ33" s="23">
        <f>(100%*25%)+(100%*25%)+(100%*25%)</f>
        <v>0.75</v>
      </c>
      <c r="AR33" s="43">
        <f>AQ33/AP33</f>
        <v>0.75</v>
      </c>
      <c r="AS33" s="59" t="s">
        <v>261</v>
      </c>
    </row>
    <row r="34" spans="1:45" ht="345" x14ac:dyDescent="0.25">
      <c r="A34" s="19">
        <v>7</v>
      </c>
      <c r="B34" s="19" t="s">
        <v>232</v>
      </c>
      <c r="C34" s="19" t="s">
        <v>262</v>
      </c>
      <c r="D34" s="19" t="s">
        <v>263</v>
      </c>
      <c r="E34" s="20">
        <v>0.04</v>
      </c>
      <c r="F34" s="19" t="s">
        <v>235</v>
      </c>
      <c r="G34" s="19" t="s">
        <v>264</v>
      </c>
      <c r="H34" s="19" t="s">
        <v>265</v>
      </c>
      <c r="I34" s="19"/>
      <c r="J34" s="21" t="s">
        <v>238</v>
      </c>
      <c r="K34" s="21" t="s">
        <v>266</v>
      </c>
      <c r="L34" s="27">
        <v>0</v>
      </c>
      <c r="M34" s="27">
        <v>1</v>
      </c>
      <c r="N34" s="27">
        <v>1</v>
      </c>
      <c r="O34" s="27">
        <v>1</v>
      </c>
      <c r="P34" s="27">
        <v>1</v>
      </c>
      <c r="Q34" s="19" t="s">
        <v>96</v>
      </c>
      <c r="R34" s="19" t="s">
        <v>267</v>
      </c>
      <c r="S34" s="19" t="s">
        <v>268</v>
      </c>
      <c r="T34" s="19" t="s">
        <v>269</v>
      </c>
      <c r="U34" s="19" t="s">
        <v>270</v>
      </c>
      <c r="V34" s="23" t="s">
        <v>65</v>
      </c>
      <c r="W34" s="23" t="s">
        <v>65</v>
      </c>
      <c r="X34" s="23" t="s">
        <v>65</v>
      </c>
      <c r="Y34" s="24" t="s">
        <v>66</v>
      </c>
      <c r="Z34" s="24" t="s">
        <v>65</v>
      </c>
      <c r="AA34" s="23">
        <f t="shared" si="6"/>
        <v>1</v>
      </c>
      <c r="AB34" s="29">
        <f>109/115</f>
        <v>0.94782608695652171</v>
      </c>
      <c r="AC34" s="43">
        <f t="shared" si="7"/>
        <v>0.94782608695652171</v>
      </c>
      <c r="AD34" s="57" t="s">
        <v>271</v>
      </c>
      <c r="AE34" s="57" t="s">
        <v>272</v>
      </c>
      <c r="AF34" s="25">
        <f t="shared" si="1"/>
        <v>1</v>
      </c>
      <c r="AG34" s="115">
        <v>1</v>
      </c>
      <c r="AH34" s="116">
        <v>1</v>
      </c>
      <c r="AI34" s="24" t="s">
        <v>273</v>
      </c>
      <c r="AJ34" s="24" t="s">
        <v>274</v>
      </c>
      <c r="AK34" s="25">
        <f t="shared" si="2"/>
        <v>1</v>
      </c>
      <c r="AL34" s="19"/>
      <c r="AM34" s="19"/>
      <c r="AN34" s="26"/>
      <c r="AO34" s="26"/>
      <c r="AP34" s="25">
        <f t="shared" si="3"/>
        <v>1</v>
      </c>
      <c r="AQ34" s="29">
        <f>(94.78%*33.3%)+(100%*33.3%)</f>
        <v>0.6486173999999999</v>
      </c>
      <c r="AR34" s="43">
        <f>AQ34/AP34</f>
        <v>0.6486173999999999</v>
      </c>
      <c r="AS34" s="57" t="s">
        <v>275</v>
      </c>
    </row>
    <row r="35" spans="1:45" ht="210" x14ac:dyDescent="0.25">
      <c r="A35" s="19">
        <v>7</v>
      </c>
      <c r="B35" s="19" t="s">
        <v>232</v>
      </c>
      <c r="C35" s="19" t="s">
        <v>233</v>
      </c>
      <c r="D35" s="19" t="s">
        <v>276</v>
      </c>
      <c r="E35" s="20">
        <v>0.04</v>
      </c>
      <c r="F35" s="19" t="s">
        <v>235</v>
      </c>
      <c r="G35" s="19" t="s">
        <v>277</v>
      </c>
      <c r="H35" s="19" t="s">
        <v>278</v>
      </c>
      <c r="I35" s="19"/>
      <c r="J35" s="21" t="s">
        <v>238</v>
      </c>
      <c r="K35" s="21" t="s">
        <v>279</v>
      </c>
      <c r="L35" s="27">
        <v>0</v>
      </c>
      <c r="M35" s="27">
        <v>1</v>
      </c>
      <c r="N35" s="27">
        <v>1</v>
      </c>
      <c r="O35" s="27">
        <v>0</v>
      </c>
      <c r="P35" s="27">
        <v>1</v>
      </c>
      <c r="Q35" s="19" t="s">
        <v>96</v>
      </c>
      <c r="R35" s="19" t="s">
        <v>280</v>
      </c>
      <c r="S35" s="19" t="s">
        <v>281</v>
      </c>
      <c r="T35" s="19" t="s">
        <v>255</v>
      </c>
      <c r="U35" s="19" t="s">
        <v>281</v>
      </c>
      <c r="V35" s="23" t="s">
        <v>65</v>
      </c>
      <c r="W35" s="23" t="s">
        <v>65</v>
      </c>
      <c r="X35" s="23" t="s">
        <v>65</v>
      </c>
      <c r="Y35" s="24" t="s">
        <v>66</v>
      </c>
      <c r="Z35" s="24" t="s">
        <v>65</v>
      </c>
      <c r="AA35" s="23">
        <f t="shared" si="6"/>
        <v>1</v>
      </c>
      <c r="AB35" s="25">
        <v>1</v>
      </c>
      <c r="AC35" s="43">
        <f t="shared" si="7"/>
        <v>1</v>
      </c>
      <c r="AD35" s="57" t="s">
        <v>282</v>
      </c>
      <c r="AE35" s="57" t="s">
        <v>283</v>
      </c>
      <c r="AF35" s="25">
        <f t="shared" si="1"/>
        <v>1</v>
      </c>
      <c r="AG35" s="115">
        <v>1</v>
      </c>
      <c r="AH35" s="116">
        <v>1</v>
      </c>
      <c r="AI35" s="24" t="s">
        <v>284</v>
      </c>
      <c r="AJ35" s="24" t="s">
        <v>283</v>
      </c>
      <c r="AK35" s="25">
        <f t="shared" si="2"/>
        <v>0</v>
      </c>
      <c r="AL35" s="19"/>
      <c r="AM35" s="19"/>
      <c r="AN35" s="26"/>
      <c r="AO35" s="26"/>
      <c r="AP35" s="25">
        <f t="shared" si="3"/>
        <v>1</v>
      </c>
      <c r="AQ35" s="25">
        <f>(100%*50%)+(100%*50%)</f>
        <v>1</v>
      </c>
      <c r="AR35" s="43">
        <f>AQ35/AP35</f>
        <v>1</v>
      </c>
      <c r="AS35" s="57" t="s">
        <v>285</v>
      </c>
    </row>
    <row r="36" spans="1:45" ht="135" x14ac:dyDescent="0.25">
      <c r="A36" s="19">
        <v>5</v>
      </c>
      <c r="B36" s="19" t="s">
        <v>286</v>
      </c>
      <c r="C36" s="19" t="s">
        <v>287</v>
      </c>
      <c r="D36" s="19" t="s">
        <v>288</v>
      </c>
      <c r="E36" s="20">
        <v>0.04</v>
      </c>
      <c r="F36" s="19" t="s">
        <v>235</v>
      </c>
      <c r="G36" s="19" t="s">
        <v>289</v>
      </c>
      <c r="H36" s="19" t="s">
        <v>290</v>
      </c>
      <c r="I36" s="19"/>
      <c r="J36" s="21" t="s">
        <v>291</v>
      </c>
      <c r="K36" s="21" t="s">
        <v>292</v>
      </c>
      <c r="L36" s="22">
        <v>0.33</v>
      </c>
      <c r="M36" s="22">
        <v>0.67</v>
      </c>
      <c r="N36" s="22">
        <v>1</v>
      </c>
      <c r="O36" s="22">
        <v>0</v>
      </c>
      <c r="P36" s="22">
        <v>1</v>
      </c>
      <c r="Q36" s="19" t="s">
        <v>96</v>
      </c>
      <c r="R36" s="19" t="s">
        <v>293</v>
      </c>
      <c r="S36" s="19" t="s">
        <v>294</v>
      </c>
      <c r="T36" s="19" t="s">
        <v>295</v>
      </c>
      <c r="U36" s="19" t="s">
        <v>294</v>
      </c>
      <c r="V36" s="23">
        <f>L36</f>
        <v>0.33</v>
      </c>
      <c r="W36" s="29">
        <v>0.999</v>
      </c>
      <c r="X36" s="25">
        <v>1</v>
      </c>
      <c r="Y36" s="28" t="s">
        <v>296</v>
      </c>
      <c r="Z36" s="28" t="s">
        <v>297</v>
      </c>
      <c r="AA36" s="23">
        <f t="shared" si="6"/>
        <v>0.67</v>
      </c>
      <c r="AB36" s="30">
        <v>0.99299999999999999</v>
      </c>
      <c r="AC36" s="43">
        <f t="shared" si="7"/>
        <v>1</v>
      </c>
      <c r="AD36" s="57" t="s">
        <v>298</v>
      </c>
      <c r="AE36" s="57" t="s">
        <v>299</v>
      </c>
      <c r="AF36" s="25">
        <f t="shared" si="1"/>
        <v>1</v>
      </c>
      <c r="AG36" s="115">
        <v>1</v>
      </c>
      <c r="AH36" s="116">
        <v>1</v>
      </c>
      <c r="AI36" s="24" t="s">
        <v>300</v>
      </c>
      <c r="AJ36" s="24" t="s">
        <v>299</v>
      </c>
      <c r="AK36" s="25">
        <f t="shared" si="2"/>
        <v>0</v>
      </c>
      <c r="AL36" s="19"/>
      <c r="AM36" s="19"/>
      <c r="AN36" s="26"/>
      <c r="AO36" s="26"/>
      <c r="AP36" s="25">
        <f t="shared" si="3"/>
        <v>1</v>
      </c>
      <c r="AQ36" s="30">
        <v>0.99299999999999999</v>
      </c>
      <c r="AR36" s="43">
        <f>AQ36/AP36</f>
        <v>0.99299999999999999</v>
      </c>
      <c r="AS36" s="57" t="s">
        <v>298</v>
      </c>
    </row>
    <row r="37" spans="1:45" s="18" customFormat="1" ht="15.75" x14ac:dyDescent="0.25">
      <c r="A37" s="15"/>
      <c r="B37" s="15"/>
      <c r="C37" s="15"/>
      <c r="D37" s="35" t="s">
        <v>301</v>
      </c>
      <c r="E37" s="36">
        <f>SUM(E32:E36)</f>
        <v>0.2</v>
      </c>
      <c r="F37" s="35"/>
      <c r="G37" s="35"/>
      <c r="H37" s="35"/>
      <c r="I37" s="35"/>
      <c r="J37" s="35"/>
      <c r="K37" s="35"/>
      <c r="L37" s="37">
        <f>AVERAGE(L33:L36)</f>
        <v>0.33250000000000002</v>
      </c>
      <c r="M37" s="37">
        <f>AVERAGE(M33:M36)</f>
        <v>0.91749999999999998</v>
      </c>
      <c r="N37" s="37">
        <f>AVERAGE(N33:N36)</f>
        <v>1</v>
      </c>
      <c r="O37" s="37">
        <f>AVERAGE(O33:O36)</f>
        <v>0.5</v>
      </c>
      <c r="P37" s="37">
        <f>AVERAGE(P33:P36)</f>
        <v>1</v>
      </c>
      <c r="Q37" s="35"/>
      <c r="R37" s="15"/>
      <c r="S37" s="15"/>
      <c r="T37" s="15"/>
      <c r="U37" s="15"/>
      <c r="V37" s="67"/>
      <c r="W37" s="67"/>
      <c r="X37" s="61">
        <f>AVERAGE(X32:X36)*20%</f>
        <v>0.2</v>
      </c>
      <c r="Y37" s="62"/>
      <c r="Z37" s="62"/>
      <c r="AA37" s="67">
        <f>AVERAGE(AA33:AA36)</f>
        <v>0.91749999999999998</v>
      </c>
      <c r="AB37" s="67"/>
      <c r="AC37" s="68">
        <f>AVERAGE(AC32:AC36)*20%</f>
        <v>0.19791304347826086</v>
      </c>
      <c r="AD37" s="69"/>
      <c r="AE37" s="69"/>
      <c r="AF37" s="68">
        <f>AVERAGE(AF33:AF36)</f>
        <v>1</v>
      </c>
      <c r="AG37" s="68"/>
      <c r="AH37" s="68">
        <f>AVERAGE(AH32:AH36)*20%</f>
        <v>0.2</v>
      </c>
      <c r="AI37" s="70"/>
      <c r="AJ37" s="70"/>
      <c r="AK37" s="68">
        <f>AVERAGE(AK33:AK36)</f>
        <v>0.5</v>
      </c>
      <c r="AL37" s="68"/>
      <c r="AM37" s="68" t="e">
        <f>AVERAGE(AM32:AM36)*20%</f>
        <v>#DIV/0!</v>
      </c>
      <c r="AN37" s="70"/>
      <c r="AO37" s="70"/>
      <c r="AP37" s="68"/>
      <c r="AQ37" s="68"/>
      <c r="AR37" s="63">
        <f>AVERAGE(AR32:AR36)*20%</f>
        <v>0.162414696</v>
      </c>
      <c r="AS37" s="64"/>
    </row>
    <row r="38" spans="1:45" s="42" customFormat="1" ht="18.75" x14ac:dyDescent="0.25">
      <c r="A38" s="38"/>
      <c r="B38" s="38"/>
      <c r="C38" s="38"/>
      <c r="D38" s="39" t="s">
        <v>302</v>
      </c>
      <c r="E38" s="40">
        <f>E37+E31</f>
        <v>1.0000000000000009</v>
      </c>
      <c r="F38" s="38"/>
      <c r="G38" s="38"/>
      <c r="H38" s="38"/>
      <c r="I38" s="38"/>
      <c r="J38" s="38"/>
      <c r="K38" s="38"/>
      <c r="L38" s="41">
        <f>L37*$E$37</f>
        <v>6.6500000000000004E-2</v>
      </c>
      <c r="M38" s="41">
        <f>M37*$E$37</f>
        <v>0.1835</v>
      </c>
      <c r="N38" s="41">
        <f>N37*$E$37</f>
        <v>0.2</v>
      </c>
      <c r="O38" s="41">
        <f>O37*$E$37</f>
        <v>0.1</v>
      </c>
      <c r="P38" s="41">
        <f>P37*$E$37</f>
        <v>0.2</v>
      </c>
      <c r="Q38" s="38"/>
      <c r="R38" s="38"/>
      <c r="S38" s="38"/>
      <c r="T38" s="38"/>
      <c r="U38" s="38"/>
      <c r="V38" s="71"/>
      <c r="W38" s="71"/>
      <c r="X38" s="72">
        <f>X31+X37</f>
        <v>0.78579245248538032</v>
      </c>
      <c r="Y38" s="73"/>
      <c r="Z38" s="73"/>
      <c r="AA38" s="71">
        <f>AA37*$E$37</f>
        <v>0.1835</v>
      </c>
      <c r="AB38" s="71"/>
      <c r="AC38" s="74">
        <f>AC31+AC37</f>
        <v>0.92071206308610398</v>
      </c>
      <c r="AD38" s="75"/>
      <c r="AE38" s="75"/>
      <c r="AF38" s="76">
        <f>AF37*$E$37</f>
        <v>0.2</v>
      </c>
      <c r="AG38" s="76"/>
      <c r="AH38" s="74">
        <f>AH31+AH37</f>
        <v>0.96607555555555558</v>
      </c>
      <c r="AI38" s="77"/>
      <c r="AJ38" s="77"/>
      <c r="AK38" s="76">
        <f>AK37*$E$37</f>
        <v>0.1</v>
      </c>
      <c r="AL38" s="76"/>
      <c r="AM38" s="74" t="e">
        <f>AM31+AM37</f>
        <v>#DIV/0!</v>
      </c>
      <c r="AN38" s="77"/>
      <c r="AO38" s="77"/>
      <c r="AP38" s="76"/>
      <c r="AQ38" s="76"/>
      <c r="AR38" s="74">
        <f>AR31+AR37</f>
        <v>0.81576796271148999</v>
      </c>
      <c r="AS38" s="78"/>
    </row>
  </sheetData>
  <sheetProtection formatColumns="0" formatRows="0" selectLockedCells="1" autoFilter="0" selectUnlockedCells="1"/>
  <mergeCells count="24">
    <mergeCell ref="A10:B11"/>
    <mergeCell ref="C10:C12"/>
    <mergeCell ref="D10:P11"/>
    <mergeCell ref="A1:K1"/>
    <mergeCell ref="L1:P1"/>
    <mergeCell ref="A2:P2"/>
    <mergeCell ref="A4:B8"/>
    <mergeCell ref="C4:D8"/>
    <mergeCell ref="AP10:AS10"/>
    <mergeCell ref="AP11:AS11"/>
    <mergeCell ref="V10:Z10"/>
    <mergeCell ref="F4:K4"/>
    <mergeCell ref="H5:K5"/>
    <mergeCell ref="H6:K6"/>
    <mergeCell ref="H7:K7"/>
    <mergeCell ref="H8:K8"/>
    <mergeCell ref="Q10:U11"/>
    <mergeCell ref="V11:Z11"/>
    <mergeCell ref="AA11:AE11"/>
    <mergeCell ref="AF11:AJ11"/>
    <mergeCell ref="AK11:AO11"/>
    <mergeCell ref="AK10:AO10"/>
    <mergeCell ref="AF10:AJ10"/>
    <mergeCell ref="AA10:AE10"/>
  </mergeCells>
  <dataValidations xWindow="821" yWindow="611"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33 Y15:Y30 Y36 AS33">
      <formula1>2500</formula1>
    </dataValidation>
    <dataValidation type="textLength" operator="lessThanOrEqual" allowBlank="1" showInputMessage="1" showErrorMessage="1" error="Por favor ingresar menos de 2.500 caracteres, incluyendo espacios." sqref="W15:X30 Z36 W36:X36 Z15:Z30 Z33 AQ27:AQ30">
      <formula1>2500</formula1>
    </dataValidation>
  </dataValidations>
  <pageMargins left="0.7" right="0.7" top="0.75" bottom="0.75" header="0.3" footer="0.3"/>
  <pageSetup paperSize="9" orientation="portrait" r:id="rId1"/>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Usme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Usuario de Windows</cp:lastModifiedBy>
  <cp:revision/>
  <dcterms:created xsi:type="dcterms:W3CDTF">2021-01-25T18:44:53Z</dcterms:created>
  <dcterms:modified xsi:type="dcterms:W3CDTF">2021-10-20T22:11:36Z</dcterms:modified>
  <cp:category/>
  <cp:contentStatus/>
</cp:coreProperties>
</file>